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DG  rest" sheetId="1" r:id="rId1"/>
    <sheet name="DG " sheetId="2" r:id="rId2"/>
  </sheets>
  <definedNames>
    <definedName name="_xlfn.SUMIFS" hidden="1">#NAME?</definedName>
    <definedName name="_xlnm.Print_Area" localSheetId="1">'DG '!$A$1:$H$86</definedName>
  </definedNames>
  <calcPr fullCalcOnLoad="1"/>
</workbook>
</file>

<file path=xl/sharedStrings.xml><?xml version="1.0" encoding="utf-8"?>
<sst xmlns="http://schemas.openxmlformats.org/spreadsheetml/2006/main" count="518" uniqueCount="137">
  <si>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</si>
  <si>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</si>
  <si>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</si>
  <si>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</si>
  <si>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</si>
  <si>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</si>
  <si>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</si>
  <si>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</si>
  <si>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</si>
  <si>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</si>
  <si>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</si>
  <si>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</si>
  <si>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</si>
  <si>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</si>
  <si>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</si>
  <si>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</si>
  <si>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</si>
  <si>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</si>
  <si>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</si>
  <si>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</si>
  <si>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</si>
  <si>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</si>
  <si>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</si>
  <si>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</si>
  <si>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</si>
  <si>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</si>
  <si>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</si>
  <si>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</si>
  <si>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</si>
  <si>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</si>
  <si>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</si>
  <si>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</si>
  <si>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</si>
  <si>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Proiectant: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</si>
  <si>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</si>
  <si>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</si>
  <si>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</si>
  <si>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</si>
  <si>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</si>
  <si>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</si>
  <si>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</si>
  <si>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</si>
  <si>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</si>
  <si>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</si>
  <si>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</si>
  <si>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</si>
  <si>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</si>
  <si>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</si>
  <si>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</si>
  <si>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</si>
  <si>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</si>
  <si>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</si>
  <si>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</si>
  <si>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</si>
  <si>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</si>
  <si>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</si>
  <si>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</si>
  <si>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</si>
  <si>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</si>
  <si>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</si>
  <si>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</si>
  <si>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</si>
  <si>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</si>
  <si>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</si>
  <si>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</si>
  <si>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</si>
  <si>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</si>
  <si>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</si>
  <si>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</si>
  <si>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</si>
  <si>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</si>
  <si>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</si>
  <si>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</si>
  <si>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</si>
  <si>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</si>
  <si>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</si>
  <si>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</si>
  <si>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</si>
  <si>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</si>
  <si>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</si>
  <si>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</si>
  <si>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</si>
  <si>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</si>
  <si>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</si>
  <si>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</si>
  <si>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</si>
  <si>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</si>
  <si>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</si>
  <si>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</si>
  <si>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</si>
  <si>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</si>
  <si>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</si>
  <si>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</si>
  <si>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</si>
  <si>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</si>
  <si>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</si>
  <si>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</si>
  <si>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</si>
  <si>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</si>
  <si>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</si>
  <si>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</si>
  <si>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</si>
  <si>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</si>
  <si>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</si>
  <si>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</si>
  <si>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</si>
  <si>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</si>
  <si>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</si>
  <si>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</si>
  <si>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</si>
  <si>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</si>
  <si>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</si>
  <si>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</si>
  <si>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</si>
  <si>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</si>
  <si>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</si>
  <si>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</si>
  <si>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r>
      <t xml:space="preserve">Se completeaza </t>
    </r>
    <r>
      <rPr>
        <b/>
        <sz val="12"/>
        <color indexed="10"/>
        <rFont val="Times New Roman"/>
        <family val="1"/>
      </rPr>
      <t>doar</t>
    </r>
    <r>
      <rPr>
        <b/>
        <sz val="12"/>
        <color indexed="8"/>
        <rFont val="Times New Roman"/>
        <family val="1"/>
      </rPr>
      <t xml:space="preserve"> campurile </t>
    </r>
    <r>
      <rPr>
        <b/>
        <sz val="12"/>
        <color indexed="31"/>
        <rFont val="Times New Roman"/>
        <family val="1"/>
      </rPr>
      <t>albastre</t>
    </r>
  </si>
  <si>
    <t xml:space="preserve">Valoare de referință standard de cost (locuitor, </t>
  </si>
  <si>
    <t>Anexa nr. 2.1</t>
  </si>
  <si>
    <t>DEVIZ  GENERAL 
al obiectivului de investiţie : "Reabilitare si modernizare strazi din municipiul Câmpulung Moldovenesc, județul Suceava"</t>
  </si>
  <si>
    <t>DEVIZ  GENERAL  ESTIMATIV
al obiectivului de investiţie : "Construire pod peste râul Moldova, str. Pârâul Morii, Câmpulung Moldovenesc, județul Suceava"</t>
  </si>
  <si>
    <t xml:space="preserve">Beneficiar, </t>
  </si>
  <si>
    <t>DIRECŢIA TEHNICĂ ŞI URBANISM,</t>
  </si>
  <si>
    <t>U.A.T.  Câmpulung Moldovenesc</t>
  </si>
  <si>
    <t>Director executiv adjunct,</t>
  </si>
  <si>
    <t>Istrate Luminiţa</t>
  </si>
  <si>
    <t>PRIMAR,</t>
  </si>
  <si>
    <t>Negură Mihăiță</t>
  </si>
  <si>
    <t>Serviciul investiții, tehnic, administrativ,</t>
  </si>
  <si>
    <t>Șef serviciu</t>
  </si>
  <si>
    <t>Erhan Andrei</t>
  </si>
  <si>
    <t>Compartiment investiții,</t>
  </si>
  <si>
    <t>Crihan Maria</t>
  </si>
  <si>
    <t>Anexa nr.2 la HCL _____/_______</t>
  </si>
  <si>
    <t>(Anexa nr. 2.1 la Ordinul 1333/2021)</t>
  </si>
  <si>
    <t xml:space="preserve">Valoare de referință standard de cost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</si>
</sst>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m/yyyy"/>
    <numFmt numFmtId="181" formatCode="#,##0.0000"/>
    <numFmt numFmtId="182" formatCode="[$-418]d\ mmmm\ yyyy"/>
    <numFmt numFmtId="183" formatCode="#,##0.0"/>
    <numFmt numFmtId="184" formatCode="#,##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0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81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81" fontId="3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34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14" fontId="12" fillId="34" borderId="10" xfId="0" applyNumberFormat="1" applyFont="1" applyFill="1" applyBorder="1" applyAlignment="1">
      <alignment vertical="center"/>
    </xf>
    <xf numFmtId="190" fontId="14" fillId="34" borderId="10" xfId="0" applyNumberFormat="1" applyFont="1" applyFill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34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80" fontId="19" fillId="0" borderId="0" xfId="0" applyNumberFormat="1" applyFont="1" applyBorder="1" applyAlignment="1" applyProtection="1">
      <alignment horizontal="left" vertical="center"/>
      <protection hidden="1"/>
    </xf>
    <xf numFmtId="181" fontId="19" fillId="0" borderId="0" xfId="0" applyNumberFormat="1" applyFont="1" applyBorder="1" applyAlignment="1" applyProtection="1">
      <alignment vertical="center" wrapText="1"/>
      <protection hidden="1"/>
    </xf>
    <xf numFmtId="181" fontId="8" fillId="0" borderId="0" xfId="0" applyNumberFormat="1" applyFont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4" fontId="8" fillId="34" borderId="19" xfId="0" applyNumberFormat="1" applyFont="1" applyFill="1" applyBorder="1" applyAlignment="1" applyProtection="1">
      <alignment horizontal="right" vertical="center"/>
      <protection hidden="1"/>
    </xf>
    <xf numFmtId="4" fontId="9" fillId="16" borderId="19" xfId="0" applyNumberFormat="1" applyFont="1" applyFill="1" applyBorder="1" applyAlignment="1" applyProtection="1">
      <alignment vertical="center"/>
      <protection hidden="1"/>
    </xf>
    <xf numFmtId="4" fontId="9" fillId="16" borderId="2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vertical="center"/>
      <protection hidden="1"/>
    </xf>
    <xf numFmtId="4" fontId="9" fillId="34" borderId="10" xfId="0" applyNumberFormat="1" applyFont="1" applyFill="1" applyBorder="1" applyAlignment="1">
      <alignment vertical="center" wrapText="1"/>
    </xf>
    <xf numFmtId="4" fontId="9" fillId="16" borderId="10" xfId="0" applyNumberFormat="1" applyFont="1" applyFill="1" applyBorder="1" applyAlignment="1" applyProtection="1">
      <alignment vertical="center"/>
      <protection hidden="1"/>
    </xf>
    <xf numFmtId="4" fontId="9" fillId="16" borderId="12" xfId="0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>
      <alignment/>
    </xf>
    <xf numFmtId="0" fontId="18" fillId="0" borderId="10" xfId="0" applyFont="1" applyFill="1" applyBorder="1" applyAlignment="1" applyProtection="1">
      <alignment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horizontal="right" vertical="center"/>
      <protection hidden="1"/>
    </xf>
    <xf numFmtId="4" fontId="18" fillId="16" borderId="15" xfId="0" applyNumberFormat="1" applyFont="1" applyFill="1" applyBorder="1" applyAlignment="1" applyProtection="1">
      <alignment horizontal="right" vertical="center"/>
      <protection hidden="1"/>
    </xf>
    <xf numFmtId="4" fontId="18" fillId="16" borderId="16" xfId="0" applyNumberFormat="1" applyFont="1" applyFill="1" applyBorder="1" applyAlignment="1" applyProtection="1">
      <alignment horizontal="right" vertical="center"/>
      <protection hidden="1"/>
    </xf>
    <xf numFmtId="0" fontId="18" fillId="0" borderId="19" xfId="0" applyFont="1" applyFill="1" applyBorder="1" applyAlignment="1" applyProtection="1">
      <alignment vertical="center" wrapText="1"/>
      <protection hidden="1"/>
    </xf>
    <xf numFmtId="4" fontId="8" fillId="10" borderId="19" xfId="0" applyNumberFormat="1" applyFont="1" applyFill="1" applyBorder="1" applyAlignment="1" applyProtection="1">
      <alignment horizontal="right" vertical="center"/>
      <protection hidden="1"/>
    </xf>
    <xf numFmtId="4" fontId="8" fillId="1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9" fontId="18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vertical="center" wrapText="1"/>
      <protection hidden="1"/>
    </xf>
    <xf numFmtId="4" fontId="8" fillId="34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11" xfId="0" applyNumberFormat="1" applyFont="1" applyFill="1" applyBorder="1" applyAlignment="1" applyProtection="1">
      <alignment horizontal="right" vertical="center"/>
      <protection hidden="1"/>
    </xf>
    <xf numFmtId="4" fontId="8" fillId="10" borderId="21" xfId="0" applyNumberFormat="1" applyFont="1" applyFill="1" applyBorder="1" applyAlignment="1" applyProtection="1">
      <alignment horizontal="right" vertical="center"/>
      <protection hidden="1"/>
    </xf>
    <xf numFmtId="4" fontId="18" fillId="10" borderId="15" xfId="0" applyNumberFormat="1" applyFont="1" applyFill="1" applyBorder="1" applyAlignment="1" applyProtection="1">
      <alignment horizontal="right" vertical="center"/>
      <protection hidden="1"/>
    </xf>
    <xf numFmtId="4" fontId="18" fillId="10" borderId="16" xfId="0" applyNumberFormat="1" applyFont="1" applyFill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8" fillId="35" borderId="22" xfId="0" applyFont="1" applyFill="1" applyBorder="1" applyAlignment="1" applyProtection="1">
      <alignment vertical="center"/>
      <protection hidden="1"/>
    </xf>
    <xf numFmtId="0" fontId="18" fillId="35" borderId="23" xfId="0" applyFont="1" applyFill="1" applyBorder="1" applyAlignment="1" applyProtection="1">
      <alignment horizontal="left" vertical="center"/>
      <protection hidden="1"/>
    </xf>
    <xf numFmtId="4" fontId="18" fillId="16" borderId="23" xfId="0" applyNumberFormat="1" applyFont="1" applyFill="1" applyBorder="1" applyAlignment="1" applyProtection="1">
      <alignment horizontal="right" vertical="center"/>
      <protection hidden="1"/>
    </xf>
    <xf numFmtId="4" fontId="18" fillId="16" borderId="26" xfId="0" applyNumberFormat="1" applyFont="1" applyFill="1" applyBorder="1" applyAlignment="1" applyProtection="1">
      <alignment horizontal="right" vertical="center"/>
      <protection hidden="1"/>
    </xf>
    <xf numFmtId="0" fontId="18" fillId="35" borderId="24" xfId="0" applyFont="1" applyFill="1" applyBorder="1" applyAlignment="1" applyProtection="1">
      <alignment vertical="center"/>
      <protection hidden="1"/>
    </xf>
    <xf numFmtId="0" fontId="18" fillId="35" borderId="2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left" vertical="center" wrapText="1"/>
      <protection hidden="1"/>
    </xf>
    <xf numFmtId="4" fontId="18" fillId="16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Fill="1" applyBorder="1" applyAlignment="1">
      <alignment horizontal="right" vertical="center" wrapText="1"/>
    </xf>
    <xf numFmtId="4" fontId="20" fillId="16" borderId="10" xfId="0" applyNumberFormat="1" applyFont="1" applyFill="1" applyBorder="1" applyAlignment="1" applyProtection="1">
      <alignment horizontal="right" vertical="center"/>
      <protection hidden="1"/>
    </xf>
    <xf numFmtId="4" fontId="9" fillId="16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Continuous" vertical="center"/>
      <protection hidden="1"/>
    </xf>
    <xf numFmtId="14" fontId="9" fillId="34" borderId="10" xfId="0" applyNumberFormat="1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190" fontId="8" fillId="34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right" vertical="center" wrapText="1"/>
      <protection hidden="1"/>
    </xf>
    <xf numFmtId="0" fontId="9" fillId="34" borderId="1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8" fillId="0" borderId="0" xfId="0" applyFont="1" applyAlignment="1" applyProtection="1">
      <alignment vertical="center" wrapText="1"/>
      <protection hidden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35" borderId="27" xfId="0" applyFont="1" applyFill="1" applyBorder="1" applyAlignment="1" applyProtection="1">
      <alignment horizontal="center" vertical="center" wrapText="1"/>
      <protection hidden="1"/>
    </xf>
    <xf numFmtId="0" fontId="18" fillId="35" borderId="28" xfId="0" applyFont="1" applyFill="1" applyBorder="1" applyAlignment="1" applyProtection="1">
      <alignment horizontal="center" vertical="center" wrapText="1"/>
      <protection hidden="1"/>
    </xf>
    <xf numFmtId="0" fontId="18" fillId="35" borderId="29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 applyProtection="1">
      <alignment horizontal="center" vertical="center" wrapText="1"/>
      <protection hidden="1"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18" fillId="35" borderId="3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3"/>
  <sheetViews>
    <sheetView tabSelected="1" zoomScale="110" zoomScaleNormal="110" zoomScalePageLayoutView="0" workbookViewId="0" topLeftCell="A1">
      <selection activeCell="B89" sqref="B89"/>
    </sheetView>
  </sheetViews>
  <sheetFormatPr defaultColWidth="9.140625" defaultRowHeight="12.75"/>
  <cols>
    <col min="1" max="1" width="6.8515625" style="117" customWidth="1"/>
    <col min="2" max="2" width="43.7109375" style="117" customWidth="1"/>
    <col min="3" max="3" width="15.7109375" style="117" bestFit="1" customWidth="1"/>
    <col min="4" max="4" width="16.8515625" style="117" customWidth="1"/>
    <col min="5" max="5" width="15.7109375" style="117" customWidth="1"/>
    <col min="6" max="6" width="14.7109375" style="118" hidden="1" customWidth="1"/>
    <col min="7" max="7" width="14.28125" style="119" hidden="1" customWidth="1"/>
    <col min="8" max="9" width="0" style="120" hidden="1" customWidth="1"/>
    <col min="10" max="36" width="9.140625" style="120" customWidth="1"/>
    <col min="37" max="16384" width="9.140625" style="121" customWidth="1"/>
  </cols>
  <sheetData>
    <row r="1" spans="4:5" ht="12">
      <c r="D1" s="208" t="s">
        <v>134</v>
      </c>
      <c r="E1" s="208"/>
    </row>
    <row r="2" spans="4:5" ht="12.75" customHeight="1">
      <c r="D2" s="208" t="s">
        <v>135</v>
      </c>
      <c r="E2" s="210"/>
    </row>
    <row r="3" spans="1:6" ht="36" customHeight="1">
      <c r="A3" s="218" t="s">
        <v>121</v>
      </c>
      <c r="B3" s="219"/>
      <c r="C3" s="219"/>
      <c r="D3" s="219"/>
      <c r="E3" s="219"/>
      <c r="F3" s="122"/>
    </row>
    <row r="4" spans="1:6" ht="15" customHeight="1" thickBot="1">
      <c r="A4" s="124"/>
      <c r="B4" s="124"/>
      <c r="C4" s="124"/>
      <c r="D4" s="125"/>
      <c r="E4" s="126"/>
      <c r="F4" s="127"/>
    </row>
    <row r="5" spans="1:8" ht="25.5" customHeight="1">
      <c r="A5" s="220" t="s">
        <v>0</v>
      </c>
      <c r="B5" s="222" t="s">
        <v>1</v>
      </c>
      <c r="C5" s="222" t="s">
        <v>28</v>
      </c>
      <c r="D5" s="222"/>
      <c r="E5" s="224"/>
      <c r="F5" s="225" t="s">
        <v>51</v>
      </c>
      <c r="G5" s="214" t="s">
        <v>100</v>
      </c>
      <c r="H5" s="214" t="s">
        <v>113</v>
      </c>
    </row>
    <row r="6" spans="1:8" ht="24">
      <c r="A6" s="221"/>
      <c r="B6" s="223"/>
      <c r="C6" s="129" t="s">
        <v>96</v>
      </c>
      <c r="D6" s="130" t="s">
        <v>97</v>
      </c>
      <c r="E6" s="131" t="s">
        <v>98</v>
      </c>
      <c r="F6" s="225"/>
      <c r="G6" s="214"/>
      <c r="H6" s="214"/>
    </row>
    <row r="7" spans="1:8" ht="12">
      <c r="A7" s="221"/>
      <c r="B7" s="223"/>
      <c r="C7" s="128" t="s">
        <v>2</v>
      </c>
      <c r="D7" s="132" t="s">
        <v>2</v>
      </c>
      <c r="E7" s="133" t="s">
        <v>2</v>
      </c>
      <c r="F7" s="225"/>
      <c r="G7" s="214"/>
      <c r="H7" s="214"/>
    </row>
    <row r="8" spans="1:7" ht="15" customHeight="1" thickBot="1">
      <c r="A8" s="134">
        <v>1</v>
      </c>
      <c r="B8" s="135">
        <v>2</v>
      </c>
      <c r="C8" s="135">
        <v>3</v>
      </c>
      <c r="D8" s="136">
        <v>4</v>
      </c>
      <c r="E8" s="137">
        <v>5</v>
      </c>
      <c r="F8" s="138"/>
      <c r="G8" s="139"/>
    </row>
    <row r="9" spans="1:7" ht="28.5" customHeight="1" thickBot="1">
      <c r="A9" s="211" t="s">
        <v>41</v>
      </c>
      <c r="B9" s="212"/>
      <c r="C9" s="212"/>
      <c r="D9" s="212"/>
      <c r="E9" s="213"/>
      <c r="F9" s="138"/>
      <c r="G9" s="139"/>
    </row>
    <row r="10" spans="1:8" ht="12">
      <c r="A10" s="140" t="s">
        <v>3</v>
      </c>
      <c r="B10" s="141" t="s">
        <v>95</v>
      </c>
      <c r="C10" s="142">
        <v>0</v>
      </c>
      <c r="D10" s="143">
        <f>ROUND(0.19*C10,2)</f>
        <v>0</v>
      </c>
      <c r="E10" s="144">
        <f>D10+C10</f>
        <v>0</v>
      </c>
      <c r="F10" s="145" t="s">
        <v>29</v>
      </c>
      <c r="G10" s="139" t="s">
        <v>101</v>
      </c>
      <c r="H10" s="139" t="s">
        <v>101</v>
      </c>
    </row>
    <row r="11" spans="1:36" s="151" customFormat="1" ht="12">
      <c r="A11" s="146" t="s">
        <v>4</v>
      </c>
      <c r="B11" s="147" t="s">
        <v>94</v>
      </c>
      <c r="C11" s="148">
        <v>0</v>
      </c>
      <c r="D11" s="149">
        <f>ROUND(0.19*C11,2)</f>
        <v>0</v>
      </c>
      <c r="E11" s="150">
        <f>D11+C11</f>
        <v>0</v>
      </c>
      <c r="F11" s="145" t="s">
        <v>30</v>
      </c>
      <c r="G11" s="139" t="s">
        <v>106</v>
      </c>
      <c r="H11" s="139" t="s">
        <v>106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</row>
    <row r="12" spans="1:8" ht="24">
      <c r="A12" s="146" t="s">
        <v>5</v>
      </c>
      <c r="B12" s="152" t="s">
        <v>42</v>
      </c>
      <c r="C12" s="76">
        <v>0</v>
      </c>
      <c r="D12" s="149">
        <f>ROUND(0.19*C12,2)</f>
        <v>0</v>
      </c>
      <c r="E12" s="150">
        <f>D12+C12</f>
        <v>0</v>
      </c>
      <c r="F12" s="145" t="s">
        <v>29</v>
      </c>
      <c r="G12" s="139" t="s">
        <v>106</v>
      </c>
      <c r="H12" s="139" t="s">
        <v>106</v>
      </c>
    </row>
    <row r="13" spans="1:36" s="151" customFormat="1" ht="19.5" customHeight="1">
      <c r="A13" s="153" t="s">
        <v>52</v>
      </c>
      <c r="B13" s="152" t="s">
        <v>53</v>
      </c>
      <c r="C13" s="148">
        <v>0</v>
      </c>
      <c r="D13" s="149">
        <f>ROUND(0.19*C13,2)</f>
        <v>0</v>
      </c>
      <c r="E13" s="150">
        <f>D13+C13</f>
        <v>0</v>
      </c>
      <c r="F13" s="145" t="s">
        <v>30</v>
      </c>
      <c r="G13" s="139" t="s">
        <v>106</v>
      </c>
      <c r="H13" s="139" t="s">
        <v>106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</row>
    <row r="14" spans="1:7" ht="16.5" customHeight="1" thickBot="1">
      <c r="A14" s="154"/>
      <c r="B14" s="155" t="s">
        <v>39</v>
      </c>
      <c r="C14" s="156">
        <f>_xlfn.SUMIFS(C10:C13,$F$10:$F$13,"&lt;&gt;")</f>
        <v>0</v>
      </c>
      <c r="D14" s="156">
        <f>_xlfn.SUMIFS(D10:D13,$F$10:$F$13,"&lt;&gt;0")</f>
        <v>0</v>
      </c>
      <c r="E14" s="156">
        <f>_xlfn.SUMIFS(E10:E13,$F$10:$F$13,"&lt;&gt;0")</f>
        <v>0</v>
      </c>
      <c r="F14" s="145"/>
      <c r="G14" s="139"/>
    </row>
    <row r="15" spans="1:7" ht="34.5" customHeight="1">
      <c r="A15" s="211" t="s">
        <v>43</v>
      </c>
      <c r="B15" s="212"/>
      <c r="C15" s="212"/>
      <c r="D15" s="212"/>
      <c r="E15" s="213"/>
      <c r="F15" s="145"/>
      <c r="G15" s="139"/>
    </row>
    <row r="16" spans="1:8" ht="24">
      <c r="A16" s="146">
        <v>2</v>
      </c>
      <c r="B16" s="152" t="s">
        <v>54</v>
      </c>
      <c r="C16" s="76">
        <v>0</v>
      </c>
      <c r="D16" s="149">
        <f>ROUND(0.19*C16,2)</f>
        <v>0</v>
      </c>
      <c r="E16" s="150">
        <f>D16+C16</f>
        <v>0</v>
      </c>
      <c r="F16" s="145" t="s">
        <v>30</v>
      </c>
      <c r="G16" s="138" t="s">
        <v>106</v>
      </c>
      <c r="H16" s="138" t="s">
        <v>106</v>
      </c>
    </row>
    <row r="17" spans="1:7" ht="16.5" customHeight="1" thickBot="1">
      <c r="A17" s="154"/>
      <c r="B17" s="155" t="s">
        <v>40</v>
      </c>
      <c r="C17" s="156">
        <f>_xlfn.SUMIFS(C16,$F$16,"&lt;&gt;")</f>
        <v>0</v>
      </c>
      <c r="D17" s="156">
        <f>_xlfn.SUMIFS(D16,$F$16,"&lt;&gt;0")</f>
        <v>0</v>
      </c>
      <c r="E17" s="157">
        <f>_xlfn.SUMIFS(E16,$F$16,"&lt;&gt;0")</f>
        <v>0</v>
      </c>
      <c r="F17" s="145"/>
      <c r="G17" s="139"/>
    </row>
    <row r="18" spans="1:7" ht="27.75" customHeight="1" thickBot="1">
      <c r="A18" s="211" t="s">
        <v>44</v>
      </c>
      <c r="B18" s="212"/>
      <c r="C18" s="212"/>
      <c r="D18" s="212"/>
      <c r="E18" s="213"/>
      <c r="F18" s="145"/>
      <c r="G18" s="139"/>
    </row>
    <row r="19" spans="1:8" ht="12">
      <c r="A19" s="140" t="s">
        <v>6</v>
      </c>
      <c r="B19" s="158" t="s">
        <v>55</v>
      </c>
      <c r="C19" s="142">
        <v>10000</v>
      </c>
      <c r="D19" s="159">
        <f aca="true" t="shared" si="0" ref="D19:D32">ROUND(0.19*C19,2)</f>
        <v>1900</v>
      </c>
      <c r="E19" s="160">
        <f aca="true" t="shared" si="1" ref="E19:E32">D19+C19</f>
        <v>11900</v>
      </c>
      <c r="F19" s="145" t="s">
        <v>29</v>
      </c>
      <c r="G19" s="139" t="s">
        <v>106</v>
      </c>
      <c r="H19" s="139" t="s">
        <v>101</v>
      </c>
    </row>
    <row r="20" spans="1:8" ht="24">
      <c r="A20" s="146" t="s">
        <v>7</v>
      </c>
      <c r="B20" s="152" t="s">
        <v>56</v>
      </c>
      <c r="C20" s="76">
        <v>2000</v>
      </c>
      <c r="D20" s="82">
        <f t="shared" si="0"/>
        <v>380</v>
      </c>
      <c r="E20" s="83">
        <f t="shared" si="1"/>
        <v>2380</v>
      </c>
      <c r="F20" s="145" t="s">
        <v>29</v>
      </c>
      <c r="G20" s="139" t="s">
        <v>106</v>
      </c>
      <c r="H20" s="139" t="s">
        <v>101</v>
      </c>
    </row>
    <row r="21" spans="1:8" ht="12">
      <c r="A21" s="153" t="s">
        <v>8</v>
      </c>
      <c r="B21" s="152" t="s">
        <v>57</v>
      </c>
      <c r="C21" s="76">
        <v>5000</v>
      </c>
      <c r="D21" s="82">
        <f t="shared" si="0"/>
        <v>950</v>
      </c>
      <c r="E21" s="83">
        <f t="shared" si="1"/>
        <v>5950</v>
      </c>
      <c r="F21" s="145" t="s">
        <v>29</v>
      </c>
      <c r="G21" s="139" t="s">
        <v>106</v>
      </c>
      <c r="H21" s="139" t="s">
        <v>101</v>
      </c>
    </row>
    <row r="22" spans="1:8" ht="24">
      <c r="A22" s="153" t="s">
        <v>9</v>
      </c>
      <c r="B22" s="152" t="s">
        <v>58</v>
      </c>
      <c r="C22" s="76">
        <v>0</v>
      </c>
      <c r="D22" s="82">
        <f t="shared" si="0"/>
        <v>0</v>
      </c>
      <c r="E22" s="83">
        <f t="shared" si="1"/>
        <v>0</v>
      </c>
      <c r="F22" s="145" t="s">
        <v>29</v>
      </c>
      <c r="G22" s="139" t="s">
        <v>106</v>
      </c>
      <c r="H22" s="139" t="s">
        <v>101</v>
      </c>
    </row>
    <row r="23" spans="1:8" ht="12">
      <c r="A23" s="153" t="s">
        <v>10</v>
      </c>
      <c r="B23" s="147" t="s">
        <v>59</v>
      </c>
      <c r="C23" s="82">
        <f>SUM(C24:C29)</f>
        <v>148406.8</v>
      </c>
      <c r="D23" s="82">
        <f>SUM(D24:D29)</f>
        <v>28197.29</v>
      </c>
      <c r="E23" s="83">
        <f>SUM(E24:E29)</f>
        <v>176604.09</v>
      </c>
      <c r="F23" s="145"/>
      <c r="G23" s="139"/>
      <c r="H23" s="139"/>
    </row>
    <row r="24" spans="1:8" ht="12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145" t="s">
        <v>29</v>
      </c>
      <c r="G24" s="139" t="s">
        <v>106</v>
      </c>
      <c r="H24" s="139" t="s">
        <v>101</v>
      </c>
    </row>
    <row r="25" spans="1:8" ht="12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145" t="s">
        <v>29</v>
      </c>
      <c r="G25" s="139" t="s">
        <v>106</v>
      </c>
      <c r="H25" s="139" t="s">
        <v>101</v>
      </c>
    </row>
    <row r="26" spans="1:8" ht="24">
      <c r="A26" s="63" t="s">
        <v>64</v>
      </c>
      <c r="B26" s="65" t="s">
        <v>65</v>
      </c>
      <c r="C26" s="76">
        <v>35000</v>
      </c>
      <c r="D26" s="82">
        <f t="shared" si="0"/>
        <v>6650</v>
      </c>
      <c r="E26" s="83">
        <f t="shared" si="1"/>
        <v>41650</v>
      </c>
      <c r="F26" s="145" t="s">
        <v>29</v>
      </c>
      <c r="G26" s="139" t="s">
        <v>106</v>
      </c>
      <c r="H26" s="139" t="s">
        <v>101</v>
      </c>
    </row>
    <row r="27" spans="1:8" ht="24">
      <c r="A27" s="63" t="s">
        <v>66</v>
      </c>
      <c r="B27" s="65" t="s">
        <v>67</v>
      </c>
      <c r="C27" s="76">
        <v>2500</v>
      </c>
      <c r="D27" s="84">
        <f t="shared" si="0"/>
        <v>475</v>
      </c>
      <c r="E27" s="85">
        <f t="shared" si="1"/>
        <v>2975</v>
      </c>
      <c r="F27" s="145" t="s">
        <v>30</v>
      </c>
      <c r="G27" s="139" t="s">
        <v>106</v>
      </c>
      <c r="H27" s="139" t="s">
        <v>101</v>
      </c>
    </row>
    <row r="28" spans="1:8" ht="24">
      <c r="A28" s="63" t="s">
        <v>68</v>
      </c>
      <c r="B28" s="65" t="s">
        <v>105</v>
      </c>
      <c r="C28" s="76">
        <v>7000</v>
      </c>
      <c r="D28" s="84">
        <f t="shared" si="0"/>
        <v>1330</v>
      </c>
      <c r="E28" s="85">
        <f t="shared" si="1"/>
        <v>8330</v>
      </c>
      <c r="F28" s="145" t="s">
        <v>30</v>
      </c>
      <c r="G28" s="139" t="s">
        <v>106</v>
      </c>
      <c r="H28" s="139" t="s">
        <v>101</v>
      </c>
    </row>
    <row r="29" spans="1:8" ht="12">
      <c r="A29" s="63" t="s">
        <v>69</v>
      </c>
      <c r="B29" s="65" t="s">
        <v>70</v>
      </c>
      <c r="C29" s="76">
        <f>C37*2.5/100</f>
        <v>103906.8</v>
      </c>
      <c r="D29" s="84">
        <f t="shared" si="0"/>
        <v>19742.29</v>
      </c>
      <c r="E29" s="85">
        <f t="shared" si="1"/>
        <v>123649.09</v>
      </c>
      <c r="F29" s="145" t="s">
        <v>30</v>
      </c>
      <c r="G29" s="139" t="s">
        <v>106</v>
      </c>
      <c r="H29" s="139" t="s">
        <v>101</v>
      </c>
    </row>
    <row r="30" spans="1:36" s="163" customFormat="1" ht="12">
      <c r="A30" s="153" t="s">
        <v>12</v>
      </c>
      <c r="B30" s="152" t="s">
        <v>45</v>
      </c>
      <c r="C30" s="76">
        <v>0</v>
      </c>
      <c r="D30" s="82">
        <f t="shared" si="0"/>
        <v>0</v>
      </c>
      <c r="E30" s="83">
        <f t="shared" si="1"/>
        <v>0</v>
      </c>
      <c r="F30" s="161" t="s">
        <v>29</v>
      </c>
      <c r="G30" s="139" t="s">
        <v>106</v>
      </c>
      <c r="H30" s="139" t="s">
        <v>101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</row>
    <row r="31" spans="1:36" s="163" customFormat="1" ht="12">
      <c r="A31" s="153" t="s">
        <v>71</v>
      </c>
      <c r="B31" s="152" t="s">
        <v>11</v>
      </c>
      <c r="C31" s="76">
        <v>0</v>
      </c>
      <c r="D31" s="82">
        <f t="shared" si="0"/>
        <v>0</v>
      </c>
      <c r="E31" s="83">
        <f t="shared" si="1"/>
        <v>0</v>
      </c>
      <c r="F31" s="161" t="s">
        <v>29</v>
      </c>
      <c r="G31" s="139" t="s">
        <v>106</v>
      </c>
      <c r="H31" s="139" t="s">
        <v>101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</row>
    <row r="32" spans="1:8" ht="12">
      <c r="A32" s="164" t="s">
        <v>72</v>
      </c>
      <c r="B32" s="165" t="s">
        <v>13</v>
      </c>
      <c r="C32" s="166">
        <f>C37*4/100</f>
        <v>166250.88</v>
      </c>
      <c r="D32" s="167">
        <f t="shared" si="0"/>
        <v>31587.67</v>
      </c>
      <c r="E32" s="168">
        <f t="shared" si="1"/>
        <v>197838.55</v>
      </c>
      <c r="F32" s="161" t="s">
        <v>29</v>
      </c>
      <c r="G32" s="139" t="s">
        <v>106</v>
      </c>
      <c r="H32" s="139" t="s">
        <v>101</v>
      </c>
    </row>
    <row r="33" spans="1:7" ht="16.5" customHeight="1" thickBot="1">
      <c r="A33" s="154"/>
      <c r="B33" s="155" t="s">
        <v>36</v>
      </c>
      <c r="C33" s="169">
        <f>_xlfn.SUMIFS(C19:C32,$F$19:$F$32,"&lt;&gt;")</f>
        <v>331657.68</v>
      </c>
      <c r="D33" s="169">
        <f>_xlfn.SUMIFS(D19:D32,$F$19:$F$32,"&lt;&gt;")</f>
        <v>63014.96</v>
      </c>
      <c r="E33" s="170">
        <f>_xlfn.SUMIFS(E19:E32,$F$19:$F$32,"&lt;&gt;")</f>
        <v>394672.64</v>
      </c>
      <c r="F33" s="145"/>
      <c r="G33" s="139"/>
    </row>
    <row r="34" spans="1:7" ht="26.25" customHeight="1">
      <c r="A34" s="215" t="s">
        <v>46</v>
      </c>
      <c r="B34" s="216"/>
      <c r="C34" s="216"/>
      <c r="D34" s="216"/>
      <c r="E34" s="217"/>
      <c r="F34" s="145"/>
      <c r="G34" s="139"/>
    </row>
    <row r="35" spans="1:7" ht="12">
      <c r="A35" s="146" t="s">
        <v>14</v>
      </c>
      <c r="B35" s="152" t="s">
        <v>102</v>
      </c>
      <c r="C35" s="82">
        <f>C36+C37</f>
        <v>4156272</v>
      </c>
      <c r="D35" s="82">
        <f>D36+D37</f>
        <v>789691.68</v>
      </c>
      <c r="E35" s="83">
        <f>E36+E37</f>
        <v>4945963.68</v>
      </c>
      <c r="F35" s="145"/>
      <c r="G35" s="139"/>
    </row>
    <row r="36" spans="1:8" ht="12">
      <c r="A36" s="171" t="str">
        <f>A35&amp;".1"</f>
        <v>4.1.1</v>
      </c>
      <c r="B36" s="65" t="s">
        <v>103</v>
      </c>
      <c r="C36" s="76">
        <v>0</v>
      </c>
      <c r="D36" s="82">
        <f>ROUND(0.19*C36,2)</f>
        <v>0</v>
      </c>
      <c r="E36" s="83">
        <f>D36+C36</f>
        <v>0</v>
      </c>
      <c r="F36" s="145" t="s">
        <v>30</v>
      </c>
      <c r="G36" s="139" t="s">
        <v>106</v>
      </c>
      <c r="H36" s="139" t="s">
        <v>106</v>
      </c>
    </row>
    <row r="37" spans="1:8" ht="12">
      <c r="A37" s="171" t="str">
        <f>A35&amp;".2"</f>
        <v>4.1.2</v>
      </c>
      <c r="B37" s="64" t="s">
        <v>104</v>
      </c>
      <c r="C37" s="76">
        <f>1282800*1.08*3</f>
        <v>4156272</v>
      </c>
      <c r="D37" s="82">
        <f>ROUND(0.19*C37,2)</f>
        <v>789691.68</v>
      </c>
      <c r="E37" s="83">
        <f>D37+C37</f>
        <v>4945963.68</v>
      </c>
      <c r="F37" s="145" t="s">
        <v>30</v>
      </c>
      <c r="G37" s="139" t="s">
        <v>101</v>
      </c>
      <c r="H37" s="139" t="s">
        <v>106</v>
      </c>
    </row>
    <row r="38" spans="1:8" ht="12">
      <c r="A38" s="146" t="s">
        <v>15</v>
      </c>
      <c r="B38" s="152" t="s">
        <v>73</v>
      </c>
      <c r="C38" s="82">
        <f>C39+C40</f>
        <v>0</v>
      </c>
      <c r="D38" s="82">
        <f>D39+D40</f>
        <v>0</v>
      </c>
      <c r="E38" s="83">
        <f>E39+E40</f>
        <v>0</v>
      </c>
      <c r="F38" s="145"/>
      <c r="G38" s="139"/>
      <c r="H38" s="139"/>
    </row>
    <row r="39" spans="1:8" ht="12">
      <c r="A39" s="171" t="str">
        <f>A38&amp;".1"</f>
        <v>4.2.1</v>
      </c>
      <c r="B39" s="65" t="s">
        <v>103</v>
      </c>
      <c r="C39" s="76">
        <v>0</v>
      </c>
      <c r="D39" s="82">
        <f>ROUND(0.19*C39,2)</f>
        <v>0</v>
      </c>
      <c r="E39" s="83">
        <f>D39+C39</f>
        <v>0</v>
      </c>
      <c r="F39" s="145" t="s">
        <v>30</v>
      </c>
      <c r="G39" s="139" t="s">
        <v>106</v>
      </c>
      <c r="H39" s="139" t="s">
        <v>106</v>
      </c>
    </row>
    <row r="40" spans="1:8" ht="12">
      <c r="A40" s="171" t="str">
        <f>A38&amp;".2"</f>
        <v>4.2.2</v>
      </c>
      <c r="B40" s="64" t="s">
        <v>104</v>
      </c>
      <c r="C40" s="76">
        <v>0</v>
      </c>
      <c r="D40" s="82">
        <f>ROUND(0.19*C40,2)</f>
        <v>0</v>
      </c>
      <c r="E40" s="83">
        <f>D40+C40</f>
        <v>0</v>
      </c>
      <c r="F40" s="145" t="s">
        <v>30</v>
      </c>
      <c r="G40" s="139" t="s">
        <v>101</v>
      </c>
      <c r="H40" s="139" t="s">
        <v>106</v>
      </c>
    </row>
    <row r="41" spans="1:8" ht="24">
      <c r="A41" s="146" t="s">
        <v>16</v>
      </c>
      <c r="B41" s="152" t="s">
        <v>74</v>
      </c>
      <c r="C41" s="82">
        <f>C42+C43</f>
        <v>0</v>
      </c>
      <c r="D41" s="82">
        <f>D42+D43</f>
        <v>0</v>
      </c>
      <c r="E41" s="83">
        <f>E42+E43</f>
        <v>0</v>
      </c>
      <c r="F41" s="145"/>
      <c r="G41" s="139"/>
      <c r="H41" s="139"/>
    </row>
    <row r="42" spans="1:8" ht="12">
      <c r="A42" s="171" t="str">
        <f>A41&amp;".1"</f>
        <v>4.3.1</v>
      </c>
      <c r="B42" s="65" t="s">
        <v>103</v>
      </c>
      <c r="C42" s="76">
        <v>0</v>
      </c>
      <c r="D42" s="82">
        <f>ROUND(0.19*C42,2)</f>
        <v>0</v>
      </c>
      <c r="E42" s="83">
        <f>D42+C42</f>
        <v>0</v>
      </c>
      <c r="F42" s="145" t="s">
        <v>30</v>
      </c>
      <c r="G42" s="139" t="s">
        <v>106</v>
      </c>
      <c r="H42" s="139" t="s">
        <v>101</v>
      </c>
    </row>
    <row r="43" spans="1:8" ht="12">
      <c r="A43" s="171" t="str">
        <f>A41&amp;".2"</f>
        <v>4.3.2</v>
      </c>
      <c r="B43" s="64" t="s">
        <v>104</v>
      </c>
      <c r="C43" s="76">
        <v>0</v>
      </c>
      <c r="D43" s="82">
        <f>ROUND(0.19*C43,2)</f>
        <v>0</v>
      </c>
      <c r="E43" s="83">
        <f>D43+C43</f>
        <v>0</v>
      </c>
      <c r="F43" s="145" t="s">
        <v>30</v>
      </c>
      <c r="G43" s="139" t="s">
        <v>101</v>
      </c>
      <c r="H43" s="139" t="s">
        <v>101</v>
      </c>
    </row>
    <row r="44" spans="1:36" s="173" customFormat="1" ht="24">
      <c r="A44" s="146" t="s">
        <v>17</v>
      </c>
      <c r="B44" s="152" t="s">
        <v>75</v>
      </c>
      <c r="C44" s="82">
        <f>C45+C46</f>
        <v>0</v>
      </c>
      <c r="D44" s="82">
        <f>D45+D46</f>
        <v>0</v>
      </c>
      <c r="E44" s="83">
        <f>E45+E46</f>
        <v>0</v>
      </c>
      <c r="F44" s="138"/>
      <c r="G44" s="139"/>
      <c r="H44" s="139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</row>
    <row r="45" spans="1:8" ht="12">
      <c r="A45" s="171" t="str">
        <f>A44&amp;".1"</f>
        <v>4.4.1</v>
      </c>
      <c r="B45" s="65" t="s">
        <v>103</v>
      </c>
      <c r="C45" s="76">
        <v>0</v>
      </c>
      <c r="D45" s="82">
        <f>ROUND(0.19*C45,2)</f>
        <v>0</v>
      </c>
      <c r="E45" s="83">
        <f>D45+C45</f>
        <v>0</v>
      </c>
      <c r="F45" s="145" t="s">
        <v>30</v>
      </c>
      <c r="G45" s="139" t="s">
        <v>106</v>
      </c>
      <c r="H45" s="139" t="s">
        <v>101</v>
      </c>
    </row>
    <row r="46" spans="1:8" ht="12">
      <c r="A46" s="171" t="str">
        <f>A44&amp;".2"</f>
        <v>4.4.2</v>
      </c>
      <c r="B46" s="64" t="s">
        <v>104</v>
      </c>
      <c r="C46" s="76">
        <v>0</v>
      </c>
      <c r="D46" s="82">
        <f>ROUND(0.19*C46,2)</f>
        <v>0</v>
      </c>
      <c r="E46" s="83">
        <f>D46+C46</f>
        <v>0</v>
      </c>
      <c r="F46" s="145" t="s">
        <v>30</v>
      </c>
      <c r="G46" s="139" t="s">
        <v>101</v>
      </c>
      <c r="H46" s="139" t="s">
        <v>101</v>
      </c>
    </row>
    <row r="47" spans="1:8" ht="12">
      <c r="A47" s="146" t="s">
        <v>18</v>
      </c>
      <c r="B47" s="152" t="s">
        <v>47</v>
      </c>
      <c r="C47" s="82">
        <f>C48+C49</f>
        <v>0</v>
      </c>
      <c r="D47" s="82">
        <f>D48+D49</f>
        <v>0</v>
      </c>
      <c r="E47" s="83">
        <f>E48+E49</f>
        <v>0</v>
      </c>
      <c r="F47" s="145"/>
      <c r="G47" s="139"/>
      <c r="H47" s="139"/>
    </row>
    <row r="48" spans="1:8" ht="12">
      <c r="A48" s="171" t="str">
        <f>A47&amp;".1"</f>
        <v>4.5.1</v>
      </c>
      <c r="B48" s="65" t="s">
        <v>103</v>
      </c>
      <c r="C48" s="76">
        <v>0</v>
      </c>
      <c r="D48" s="82">
        <f>ROUND(0.19*C48,2)</f>
        <v>0</v>
      </c>
      <c r="E48" s="83">
        <f>D48+C48</f>
        <v>0</v>
      </c>
      <c r="F48" s="145" t="s">
        <v>30</v>
      </c>
      <c r="G48" s="139" t="s">
        <v>106</v>
      </c>
      <c r="H48" s="139" t="s">
        <v>101</v>
      </c>
    </row>
    <row r="49" spans="1:8" ht="12">
      <c r="A49" s="171" t="str">
        <f>A47&amp;".2"</f>
        <v>4.5.2</v>
      </c>
      <c r="B49" s="64" t="s">
        <v>104</v>
      </c>
      <c r="C49" s="76">
        <v>0</v>
      </c>
      <c r="D49" s="82">
        <f>ROUND(0.19*C49,2)</f>
        <v>0</v>
      </c>
      <c r="E49" s="83">
        <f>D49+C49</f>
        <v>0</v>
      </c>
      <c r="F49" s="145" t="s">
        <v>30</v>
      </c>
      <c r="G49" s="139" t="s">
        <v>101</v>
      </c>
      <c r="H49" s="139" t="s">
        <v>101</v>
      </c>
    </row>
    <row r="50" spans="1:8" ht="12">
      <c r="A50" s="146" t="s">
        <v>26</v>
      </c>
      <c r="B50" s="152" t="s">
        <v>27</v>
      </c>
      <c r="C50" s="82">
        <f>C51+C52</f>
        <v>0</v>
      </c>
      <c r="D50" s="82">
        <f>D51+D52</f>
        <v>0</v>
      </c>
      <c r="E50" s="83">
        <f>E51+E52</f>
        <v>0</v>
      </c>
      <c r="F50" s="145"/>
      <c r="G50" s="139"/>
      <c r="H50" s="139"/>
    </row>
    <row r="51" spans="1:8" ht="12">
      <c r="A51" s="171" t="str">
        <f>A50&amp;".1"</f>
        <v>4.6.1</v>
      </c>
      <c r="B51" s="65" t="s">
        <v>103</v>
      </c>
      <c r="C51" s="76">
        <v>0</v>
      </c>
      <c r="D51" s="82">
        <f>ROUND(0.19*C51,2)</f>
        <v>0</v>
      </c>
      <c r="E51" s="83">
        <f>D51+C51</f>
        <v>0</v>
      </c>
      <c r="F51" s="145" t="s">
        <v>30</v>
      </c>
      <c r="G51" s="139" t="s">
        <v>106</v>
      </c>
      <c r="H51" s="139" t="s">
        <v>101</v>
      </c>
    </row>
    <row r="52" spans="1:8" ht="12">
      <c r="A52" s="171" t="str">
        <f>A50&amp;".2"</f>
        <v>4.6.2</v>
      </c>
      <c r="B52" s="64" t="s">
        <v>104</v>
      </c>
      <c r="C52" s="76">
        <v>0</v>
      </c>
      <c r="D52" s="82">
        <f>ROUND(0.19*C52,2)</f>
        <v>0</v>
      </c>
      <c r="E52" s="83">
        <f>D52+C52</f>
        <v>0</v>
      </c>
      <c r="F52" s="145" t="s">
        <v>30</v>
      </c>
      <c r="G52" s="139" t="s">
        <v>101</v>
      </c>
      <c r="H52" s="139" t="s">
        <v>101</v>
      </c>
    </row>
    <row r="53" spans="1:8" ht="12.75" thickBot="1">
      <c r="A53" s="154"/>
      <c r="B53" s="155" t="s">
        <v>35</v>
      </c>
      <c r="C53" s="169">
        <f>_xlfn.SUMIFS(C35:C52,$F$35:$F$52,"&lt;&gt;")</f>
        <v>4156272</v>
      </c>
      <c r="D53" s="169">
        <f>_xlfn.SUMIFS(D35:D52,$F$35:$F$52,"&lt;&gt;")</f>
        <v>789691.68</v>
      </c>
      <c r="E53" s="170">
        <f>_xlfn.SUMIFS(E35:E52,$F$35:$F$52,"&lt;&gt;")</f>
        <v>4945963.68</v>
      </c>
      <c r="F53" s="145"/>
      <c r="G53" s="139"/>
      <c r="H53" s="139"/>
    </row>
    <row r="54" spans="1:8" ht="25.5" customHeight="1">
      <c r="A54" s="211" t="s">
        <v>19</v>
      </c>
      <c r="B54" s="212"/>
      <c r="C54" s="212"/>
      <c r="D54" s="212"/>
      <c r="E54" s="213"/>
      <c r="F54" s="145"/>
      <c r="G54" s="139"/>
      <c r="H54" s="139"/>
    </row>
    <row r="55" spans="1:8" ht="15" customHeight="1">
      <c r="A55" s="146" t="s">
        <v>20</v>
      </c>
      <c r="B55" s="147" t="s">
        <v>90</v>
      </c>
      <c r="C55" s="82">
        <f>C56+C57</f>
        <v>41562.72</v>
      </c>
      <c r="D55" s="82">
        <f>D56+D57</f>
        <v>7896.92</v>
      </c>
      <c r="E55" s="83">
        <f>E56+E57</f>
        <v>49459.64</v>
      </c>
      <c r="F55" s="145"/>
      <c r="G55" s="139"/>
      <c r="H55" s="139"/>
    </row>
    <row r="56" spans="1:8" ht="24">
      <c r="A56" s="63" t="s">
        <v>34</v>
      </c>
      <c r="B56" s="65" t="s">
        <v>76</v>
      </c>
      <c r="C56" s="76">
        <f>C53*0.7/100</f>
        <v>29093.904</v>
      </c>
      <c r="D56" s="82">
        <f>ROUND(0.19*C56,2)</f>
        <v>5527.84</v>
      </c>
      <c r="E56" s="83">
        <f>D56+C56</f>
        <v>34621.744</v>
      </c>
      <c r="F56" s="145" t="s">
        <v>30</v>
      </c>
      <c r="G56" s="139" t="s">
        <v>106</v>
      </c>
      <c r="H56" s="139" t="s">
        <v>106</v>
      </c>
    </row>
    <row r="57" spans="1:8" ht="15.75" customHeight="1">
      <c r="A57" s="63" t="s">
        <v>48</v>
      </c>
      <c r="B57" s="64" t="s">
        <v>77</v>
      </c>
      <c r="C57" s="76">
        <f>C53*0.3/100</f>
        <v>12468.815999999999</v>
      </c>
      <c r="D57" s="82">
        <f>ROUND(0.19*C57,2)</f>
        <v>2369.08</v>
      </c>
      <c r="E57" s="83">
        <f>D57+C57</f>
        <v>14837.895999999999</v>
      </c>
      <c r="F57" s="145" t="s">
        <v>29</v>
      </c>
      <c r="G57" s="139" t="s">
        <v>106</v>
      </c>
      <c r="H57" s="139" t="s">
        <v>101</v>
      </c>
    </row>
    <row r="58" spans="1:8" ht="26.25" customHeight="1">
      <c r="A58" s="146" t="s">
        <v>21</v>
      </c>
      <c r="B58" s="152" t="s">
        <v>49</v>
      </c>
      <c r="C58" s="82">
        <f>SUM(C59:C63)</f>
        <v>56109.672</v>
      </c>
      <c r="D58" s="82">
        <f>SUM(D59:D63)</f>
        <v>10660.84</v>
      </c>
      <c r="E58" s="83">
        <f>SUM(E59:E63)</f>
        <v>66770.512</v>
      </c>
      <c r="F58" s="145"/>
      <c r="G58" s="139"/>
      <c r="H58" s="139"/>
    </row>
    <row r="59" spans="1:8" ht="24">
      <c r="A59" s="63" t="s">
        <v>78</v>
      </c>
      <c r="B59" s="65" t="s">
        <v>79</v>
      </c>
      <c r="C59" s="76">
        <v>0</v>
      </c>
      <c r="D59" s="82">
        <f aca="true" t="shared" si="2" ref="D59:D65">ROUND(0.19*C59,2)</f>
        <v>0</v>
      </c>
      <c r="E59" s="83">
        <f aca="true" t="shared" si="3" ref="E59:E65">D59+C59</f>
        <v>0</v>
      </c>
      <c r="F59" s="145" t="s">
        <v>29</v>
      </c>
      <c r="G59" s="139" t="s">
        <v>106</v>
      </c>
      <c r="H59" s="139" t="s">
        <v>101</v>
      </c>
    </row>
    <row r="60" spans="1:8" s="120" customFormat="1" ht="24">
      <c r="A60" s="63" t="s">
        <v>80</v>
      </c>
      <c r="B60" s="65" t="s">
        <v>81</v>
      </c>
      <c r="C60" s="76">
        <f>C37*0.5/100</f>
        <v>20781.36</v>
      </c>
      <c r="D60" s="82">
        <f t="shared" si="2"/>
        <v>3948.46</v>
      </c>
      <c r="E60" s="83">
        <f t="shared" si="3"/>
        <v>24729.82</v>
      </c>
      <c r="F60" s="145" t="s">
        <v>30</v>
      </c>
      <c r="G60" s="139" t="s">
        <v>106</v>
      </c>
      <c r="H60" s="139" t="s">
        <v>101</v>
      </c>
    </row>
    <row r="61" spans="1:8" s="120" customFormat="1" ht="36">
      <c r="A61" s="63" t="s">
        <v>82</v>
      </c>
      <c r="B61" s="65" t="s">
        <v>83</v>
      </c>
      <c r="C61" s="76">
        <f>C37*0.1/100</f>
        <v>4156.272</v>
      </c>
      <c r="D61" s="82">
        <f t="shared" si="2"/>
        <v>789.69</v>
      </c>
      <c r="E61" s="83">
        <f t="shared" si="3"/>
        <v>4945.9619999999995</v>
      </c>
      <c r="F61" s="145" t="s">
        <v>30</v>
      </c>
      <c r="G61" s="139" t="s">
        <v>106</v>
      </c>
      <c r="H61" s="139" t="s">
        <v>101</v>
      </c>
    </row>
    <row r="62" spans="1:8" s="120" customFormat="1" ht="12">
      <c r="A62" s="63" t="s">
        <v>84</v>
      </c>
      <c r="B62" s="65" t="s">
        <v>85</v>
      </c>
      <c r="C62" s="76">
        <f>C60</f>
        <v>20781.36</v>
      </c>
      <c r="D62" s="82">
        <f t="shared" si="2"/>
        <v>3948.46</v>
      </c>
      <c r="E62" s="83">
        <f t="shared" si="3"/>
        <v>24729.82</v>
      </c>
      <c r="F62" s="145" t="s">
        <v>30</v>
      </c>
      <c r="G62" s="139" t="s">
        <v>106</v>
      </c>
      <c r="H62" s="139" t="s">
        <v>101</v>
      </c>
    </row>
    <row r="63" spans="1:8" ht="24">
      <c r="A63" s="63" t="s">
        <v>86</v>
      </c>
      <c r="B63" s="65" t="s">
        <v>87</v>
      </c>
      <c r="C63" s="76">
        <f>C53*0.0025</f>
        <v>10390.68</v>
      </c>
      <c r="D63" s="82">
        <f t="shared" si="2"/>
        <v>1974.23</v>
      </c>
      <c r="E63" s="83">
        <f t="shared" si="3"/>
        <v>12364.91</v>
      </c>
      <c r="F63" s="145" t="s">
        <v>29</v>
      </c>
      <c r="G63" s="139" t="s">
        <v>106</v>
      </c>
      <c r="H63" s="139" t="s">
        <v>101</v>
      </c>
    </row>
    <row r="64" spans="1:8" ht="12">
      <c r="A64" s="146" t="s">
        <v>22</v>
      </c>
      <c r="B64" s="152" t="s">
        <v>31</v>
      </c>
      <c r="C64" s="76">
        <f>C53*10/100</f>
        <v>415627.2</v>
      </c>
      <c r="D64" s="82">
        <f t="shared" si="2"/>
        <v>78969.17</v>
      </c>
      <c r="E64" s="83">
        <f t="shared" si="3"/>
        <v>494596.37</v>
      </c>
      <c r="F64" s="145" t="s">
        <v>30</v>
      </c>
      <c r="G64" s="139" t="s">
        <v>106</v>
      </c>
      <c r="H64" s="139" t="s">
        <v>101</v>
      </c>
    </row>
    <row r="65" spans="1:8" ht="12">
      <c r="A65" s="153" t="s">
        <v>88</v>
      </c>
      <c r="B65" s="152" t="s">
        <v>89</v>
      </c>
      <c r="C65" s="76">
        <v>3000</v>
      </c>
      <c r="D65" s="82">
        <f t="shared" si="2"/>
        <v>570</v>
      </c>
      <c r="E65" s="83">
        <f t="shared" si="3"/>
        <v>3570</v>
      </c>
      <c r="F65" s="145" t="s">
        <v>29</v>
      </c>
      <c r="G65" s="139" t="s">
        <v>106</v>
      </c>
      <c r="H65" s="139" t="s">
        <v>101</v>
      </c>
    </row>
    <row r="66" spans="1:8" ht="12.75" thickBot="1">
      <c r="A66" s="154"/>
      <c r="B66" s="155" t="s">
        <v>37</v>
      </c>
      <c r="C66" s="169">
        <f>_xlfn.SUMIFS(C55:C65,$F$55:$F$65,"&lt;&gt;")</f>
        <v>516299.592</v>
      </c>
      <c r="D66" s="169">
        <f>_xlfn.SUMIFS(D55:D65,$F$55:$F$65,"&lt;&gt;")</f>
        <v>98096.93</v>
      </c>
      <c r="E66" s="170">
        <f>_xlfn.SUMIFS(E55:E65,$F$55:$F$65,"&lt;&gt;")</f>
        <v>614396.522</v>
      </c>
      <c r="F66" s="145"/>
      <c r="G66" s="139"/>
      <c r="H66" s="139"/>
    </row>
    <row r="67" spans="1:8" ht="27" customHeight="1">
      <c r="A67" s="211" t="s">
        <v>91</v>
      </c>
      <c r="B67" s="212"/>
      <c r="C67" s="212"/>
      <c r="D67" s="212"/>
      <c r="E67" s="213"/>
      <c r="F67" s="145"/>
      <c r="G67" s="139"/>
      <c r="H67" s="139"/>
    </row>
    <row r="68" spans="1:8" ht="12">
      <c r="A68" s="146" t="s">
        <v>23</v>
      </c>
      <c r="B68" s="152" t="s">
        <v>92</v>
      </c>
      <c r="C68" s="76">
        <v>0</v>
      </c>
      <c r="D68" s="82">
        <f>0.19*C68</f>
        <v>0</v>
      </c>
      <c r="E68" s="83">
        <f>C68*1.19</f>
        <v>0</v>
      </c>
      <c r="F68" s="145" t="s">
        <v>29</v>
      </c>
      <c r="G68" s="139" t="s">
        <v>106</v>
      </c>
      <c r="H68" s="139" t="s">
        <v>106</v>
      </c>
    </row>
    <row r="69" spans="1:8" ht="12">
      <c r="A69" s="146" t="s">
        <v>24</v>
      </c>
      <c r="B69" s="152" t="s">
        <v>50</v>
      </c>
      <c r="C69" s="76">
        <v>0</v>
      </c>
      <c r="D69" s="82">
        <f>ROUND(0.19*C69,2)</f>
        <v>0</v>
      </c>
      <c r="E69" s="83">
        <f>D69+C69</f>
        <v>0</v>
      </c>
      <c r="F69" s="145" t="s">
        <v>30</v>
      </c>
      <c r="G69" s="139" t="s">
        <v>106</v>
      </c>
      <c r="H69" s="139" t="s">
        <v>106</v>
      </c>
    </row>
    <row r="70" spans="1:7" ht="12.75" customHeight="1" thickBot="1">
      <c r="A70" s="154"/>
      <c r="B70" s="155" t="s">
        <v>38</v>
      </c>
      <c r="C70" s="169">
        <f>_xlfn.SUMIFS(C68:C69,$F$68:$F$69,"&lt;&gt;")</f>
        <v>0</v>
      </c>
      <c r="D70" s="169">
        <f>_xlfn.SUMIFS(D68:D69,$F$68:$F$69,"&lt;&gt;")</f>
        <v>0</v>
      </c>
      <c r="E70" s="170">
        <f>_xlfn.SUMIFS(E68:E69,$F$68:$F$69,"&lt;&gt;")</f>
        <v>0</v>
      </c>
      <c r="F70" s="145"/>
      <c r="G70" s="139"/>
    </row>
    <row r="71" spans="1:7" ht="21" customHeight="1" thickBot="1">
      <c r="A71" s="174"/>
      <c r="B71" s="175" t="s">
        <v>32</v>
      </c>
      <c r="C71" s="176">
        <f>_xlfn.SUMIFS(C10:C70,$F$10:$F$70,"&lt;&gt;")</f>
        <v>5004229.272</v>
      </c>
      <c r="D71" s="176">
        <f>_xlfn.SUMIFS(D10:D70,$F$10:$F$70,"&lt;&gt;")</f>
        <v>950803.5699999998</v>
      </c>
      <c r="E71" s="177">
        <f>_xlfn.SUMIFS(E10:E70,$F$10:$F$70,"&lt;&gt;")</f>
        <v>5955032.842</v>
      </c>
      <c r="F71" s="145"/>
      <c r="G71" s="139"/>
    </row>
    <row r="72" spans="1:7" ht="23.25" customHeight="1" thickBot="1">
      <c r="A72" s="178"/>
      <c r="B72" s="179" t="s">
        <v>93</v>
      </c>
      <c r="C72" s="176">
        <f>_xlfn.SUMIFS(C10:C70,$H$10:$H$70,"da")</f>
        <v>4185365.904</v>
      </c>
      <c r="D72" s="176">
        <f>_xlfn.SUMIFS(D10:D70,$H$10:$H$70,"da")</f>
        <v>795219.52</v>
      </c>
      <c r="E72" s="177">
        <f>_xlfn.SUMIFS(E10:E70,$H$10:$H$70,"da")</f>
        <v>4980585.424</v>
      </c>
      <c r="F72" s="145"/>
      <c r="G72" s="139"/>
    </row>
    <row r="73" spans="1:6" ht="12">
      <c r="A73" s="180"/>
      <c r="B73" s="181"/>
      <c r="C73" s="182"/>
      <c r="D73" s="182"/>
      <c r="E73" s="182"/>
      <c r="F73" s="183"/>
    </row>
    <row r="74" spans="1:6" ht="12">
      <c r="A74" s="180"/>
      <c r="B74" s="181"/>
      <c r="C74" s="182"/>
      <c r="D74" s="182"/>
      <c r="E74" s="182"/>
      <c r="F74" s="183"/>
    </row>
    <row r="75" spans="1:6" ht="12">
      <c r="A75" s="180"/>
      <c r="B75" s="181"/>
      <c r="C75" s="182"/>
      <c r="D75" s="182"/>
      <c r="E75" s="182"/>
      <c r="F75" s="183"/>
    </row>
    <row r="76" spans="1:6" ht="12">
      <c r="A76" s="180"/>
      <c r="B76" s="184" t="s">
        <v>99</v>
      </c>
      <c r="C76" s="185">
        <f>C77+C78</f>
        <v>5955032.842</v>
      </c>
      <c r="D76" s="182"/>
      <c r="E76" s="182"/>
      <c r="F76" s="183"/>
    </row>
    <row r="77" spans="1:6" ht="21" customHeight="1">
      <c r="A77" s="180"/>
      <c r="B77" s="186" t="s">
        <v>30</v>
      </c>
      <c r="C77" s="187">
        <f>_xlfn.SUMIFS(E10:E69,F10:F69,"=buget de stat")</f>
        <v>5664541.4860000005</v>
      </c>
      <c r="D77" s="182"/>
      <c r="E77" s="182"/>
      <c r="F77" s="183"/>
    </row>
    <row r="78" spans="1:6" ht="21" customHeight="1">
      <c r="A78" s="180"/>
      <c r="B78" s="186" t="s">
        <v>29</v>
      </c>
      <c r="C78" s="188">
        <f>_xlfn.SUMIFS(E10:E69,F10:F69,"=buget local")</f>
        <v>290491.35599999997</v>
      </c>
      <c r="D78" s="182"/>
      <c r="E78" s="182"/>
      <c r="F78" s="183"/>
    </row>
    <row r="79" spans="1:6" ht="12">
      <c r="A79" s="124"/>
      <c r="B79" s="189"/>
      <c r="C79" s="189"/>
      <c r="D79" s="190"/>
      <c r="E79" s="190"/>
      <c r="F79" s="183"/>
    </row>
    <row r="80" spans="1:6" ht="12">
      <c r="A80" s="124"/>
      <c r="B80" s="191" t="s">
        <v>115</v>
      </c>
      <c r="C80" s="192" t="s">
        <v>109</v>
      </c>
      <c r="D80" s="192" t="s">
        <v>110</v>
      </c>
      <c r="E80" s="190"/>
      <c r="F80" s="183"/>
    </row>
    <row r="81" spans="1:6" ht="12">
      <c r="A81" s="124"/>
      <c r="B81" s="186" t="s">
        <v>111</v>
      </c>
      <c r="C81" s="187">
        <f>_xlfn.SUMIFS(C35:C52,G35:G52,"=da")</f>
        <v>0</v>
      </c>
      <c r="D81" s="187">
        <f>_xlfn.SUMIFS(C35:C52,G35:G52,"=nu")</f>
        <v>4156272</v>
      </c>
      <c r="E81" s="190"/>
      <c r="F81" s="183"/>
    </row>
    <row r="82" spans="1:6" ht="12">
      <c r="A82" s="124"/>
      <c r="B82" s="186" t="s">
        <v>112</v>
      </c>
      <c r="C82" s="187">
        <f>C81/(C81+D81)*(_xlfn.SUMIFS(C10:C69,G10:G69,"=da")-C81)+C81</f>
        <v>0</v>
      </c>
      <c r="D82" s="187">
        <f>(_xlfn.SUMIFS(C35:C52,G35:G52,"=nu")/((_xlfn.SUMIFS(C35:C52,G35:G52,"=da")+(_xlfn.SUMIFS(C35:C52,G35:G52,"=nu")))))*((_xlfn.SUMIFS(C10:C69,G10:G69,"=da")+(_xlfn.SUMIFS(C10:C69,G10:G69,"=nu"))))</f>
        <v>5004229.272</v>
      </c>
      <c r="E82" s="190"/>
      <c r="F82" s="183"/>
    </row>
    <row r="83" spans="1:6" ht="12">
      <c r="A83" s="124"/>
      <c r="B83" s="186" t="s">
        <v>116</v>
      </c>
      <c r="C83" s="187">
        <f>C82/C88</f>
        <v>0</v>
      </c>
      <c r="D83" s="187">
        <f>D82/C88</f>
        <v>5004229.272</v>
      </c>
      <c r="E83" s="190"/>
      <c r="F83" s="183"/>
    </row>
    <row r="84" spans="1:6" ht="12">
      <c r="A84" s="124"/>
      <c r="B84" s="186" t="s">
        <v>114</v>
      </c>
      <c r="C84" s="187">
        <f>C82/C88/C87</f>
        <v>0</v>
      </c>
      <c r="D84" s="187">
        <f>D82/C88/C87</f>
        <v>1011629.8283704288</v>
      </c>
      <c r="E84" s="190"/>
      <c r="F84" s="183"/>
    </row>
    <row r="85" ht="12">
      <c r="A85" s="124"/>
    </row>
    <row r="86" spans="1:5" ht="12">
      <c r="A86" s="193"/>
      <c r="B86" s="186" t="s">
        <v>107</v>
      </c>
      <c r="C86" s="194">
        <v>44491</v>
      </c>
      <c r="D86" s="195"/>
      <c r="E86" s="195"/>
    </row>
    <row r="87" spans="1:3" ht="12">
      <c r="A87" s="196"/>
      <c r="B87" s="186" t="s">
        <v>108</v>
      </c>
      <c r="C87" s="197">
        <v>4.9467</v>
      </c>
    </row>
    <row r="88" spans="1:5" ht="12">
      <c r="A88" s="196"/>
      <c r="B88" s="198" t="s">
        <v>136</v>
      </c>
      <c r="C88" s="199">
        <v>1</v>
      </c>
      <c r="D88" s="200"/>
      <c r="E88" s="200"/>
    </row>
    <row r="89" spans="1:5" ht="12">
      <c r="A89" s="196"/>
      <c r="C89" s="190"/>
      <c r="D89" s="190"/>
      <c r="E89" s="190"/>
    </row>
    <row r="90" ht="12">
      <c r="A90" s="196"/>
    </row>
    <row r="91" spans="1:5" ht="12">
      <c r="A91" s="196"/>
      <c r="B91" s="201"/>
      <c r="C91" s="200"/>
      <c r="D91" s="202"/>
      <c r="E91" s="202"/>
    </row>
    <row r="92" spans="1:5" ht="12">
      <c r="A92" s="203"/>
      <c r="B92" s="123" t="s">
        <v>122</v>
      </c>
      <c r="C92" s="205"/>
      <c r="D92" s="207" t="s">
        <v>123</v>
      </c>
      <c r="E92" s="207"/>
    </row>
    <row r="93" spans="1:5" ht="12">
      <c r="A93" s="204"/>
      <c r="B93" s="118" t="s">
        <v>124</v>
      </c>
      <c r="D93" s="207" t="s">
        <v>125</v>
      </c>
      <c r="E93" s="207"/>
    </row>
    <row r="94" spans="1:5" ht="12">
      <c r="A94" s="204"/>
      <c r="D94" s="209" t="s">
        <v>126</v>
      </c>
      <c r="E94" s="209"/>
    </row>
    <row r="95" spans="1:5" ht="12">
      <c r="A95" s="204"/>
      <c r="B95" s="123" t="s">
        <v>127</v>
      </c>
      <c r="E95" s="206"/>
    </row>
    <row r="96" spans="1:5" ht="12">
      <c r="A96" s="204"/>
      <c r="B96" s="118" t="s">
        <v>128</v>
      </c>
      <c r="E96" s="206"/>
    </row>
    <row r="97" spans="1:5" ht="12.75">
      <c r="A97" s="204"/>
      <c r="B97" s="1"/>
      <c r="D97" s="207" t="s">
        <v>129</v>
      </c>
      <c r="E97" s="207"/>
    </row>
    <row r="98" spans="1:5" ht="12.75">
      <c r="A98" s="204"/>
      <c r="B98" s="1"/>
      <c r="D98" s="210" t="s">
        <v>130</v>
      </c>
      <c r="E98" s="210"/>
    </row>
    <row r="99" spans="1:5" ht="12">
      <c r="A99" s="204"/>
      <c r="D99" s="208" t="s">
        <v>131</v>
      </c>
      <c r="E99" s="208"/>
    </row>
    <row r="100" spans="1:5" ht="12">
      <c r="A100" s="204"/>
      <c r="E100" s="118"/>
    </row>
    <row r="101" ht="12">
      <c r="E101" s="118"/>
    </row>
    <row r="102" spans="4:5" ht="12">
      <c r="D102" s="207" t="s">
        <v>132</v>
      </c>
      <c r="E102" s="207"/>
    </row>
    <row r="103" spans="4:5" ht="12">
      <c r="D103" s="208" t="s">
        <v>133</v>
      </c>
      <c r="E103" s="208"/>
    </row>
  </sheetData>
  <sheetProtection/>
  <mergeCells count="23">
    <mergeCell ref="D1:E1"/>
    <mergeCell ref="D2:E2"/>
    <mergeCell ref="A3:E3"/>
    <mergeCell ref="A5:A7"/>
    <mergeCell ref="B5:B7"/>
    <mergeCell ref="C5:E5"/>
    <mergeCell ref="F5:F7"/>
    <mergeCell ref="G5:G7"/>
    <mergeCell ref="A67:E67"/>
    <mergeCell ref="H5:H7"/>
    <mergeCell ref="A9:E9"/>
    <mergeCell ref="A15:E15"/>
    <mergeCell ref="A18:E18"/>
    <mergeCell ref="A34:E34"/>
    <mergeCell ref="A54:E54"/>
    <mergeCell ref="D102:E102"/>
    <mergeCell ref="D103:E103"/>
    <mergeCell ref="D92:E92"/>
    <mergeCell ref="D93:E93"/>
    <mergeCell ref="D94:E94"/>
    <mergeCell ref="D97:E97"/>
    <mergeCell ref="D98:E98"/>
    <mergeCell ref="D99:E99"/>
  </mergeCells>
  <dataValidations count="2">
    <dataValidation type="date" operator="greaterThanOrEqual" allowBlank="1" showInputMessage="1" showErrorMessage="1" sqref="C86">
      <formula1>44197</formula1>
    </dataValidation>
    <dataValidation type="list" allowBlank="1" showInputMessage="1" showErrorMessage="1" sqref="G51:H52 G48:H49 G16:H16 G19:H22 G24:H32 G36:H37 G39:H40 G42:H43 G45:H46 G68:H69 G10:H13 G56:H65">
      <formula1>"da,nu"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="110" zoomScaleNormal="110" zoomScalePageLayoutView="0" workbookViewId="0" topLeftCell="A73">
      <selection activeCell="C14" sqref="C14"/>
    </sheetView>
  </sheetViews>
  <sheetFormatPr defaultColWidth="9.140625" defaultRowHeight="12.75"/>
  <cols>
    <col min="1" max="1" width="6.8515625" style="4" customWidth="1"/>
    <col min="2" max="2" width="43.7109375" style="4" customWidth="1"/>
    <col min="3" max="3" width="15.7109375" style="4" bestFit="1" customWidth="1"/>
    <col min="4" max="4" width="16.8515625" style="4" customWidth="1"/>
    <col min="5" max="5" width="15.7109375" style="4" customWidth="1"/>
    <col min="6" max="6" width="14.7109375" style="37" customWidth="1"/>
    <col min="7" max="7" width="14.28125" style="36" customWidth="1"/>
    <col min="8" max="36" width="9.140625" style="22" customWidth="1"/>
    <col min="37" max="16384" width="9.140625" style="1" customWidth="1"/>
  </cols>
  <sheetData>
    <row r="1" ht="12.75">
      <c r="E1" s="116" t="s">
        <v>119</v>
      </c>
    </row>
    <row r="2" spans="1:6" ht="36" customHeight="1">
      <c r="A2" s="234" t="s">
        <v>120</v>
      </c>
      <c r="B2" s="235"/>
      <c r="C2" s="235"/>
      <c r="D2" s="235"/>
      <c r="E2" s="235"/>
      <c r="F2" s="28"/>
    </row>
    <row r="3" spans="1:5" ht="19.5" customHeight="1">
      <c r="A3" s="29"/>
      <c r="B3" s="115" t="s">
        <v>117</v>
      </c>
      <c r="C3" s="29"/>
      <c r="D3" s="29"/>
      <c r="E3" s="29"/>
    </row>
    <row r="4" spans="1:6" ht="15" customHeight="1" thickBot="1">
      <c r="A4" s="6"/>
      <c r="B4" s="6"/>
      <c r="C4" s="6"/>
      <c r="D4" s="5"/>
      <c r="E4" s="30"/>
      <c r="F4" s="38"/>
    </row>
    <row r="5" spans="1:8" ht="25.5" customHeight="1">
      <c r="A5" s="236" t="s">
        <v>0</v>
      </c>
      <c r="B5" s="238" t="s">
        <v>1</v>
      </c>
      <c r="C5" s="238" t="s">
        <v>28</v>
      </c>
      <c r="D5" s="238"/>
      <c r="E5" s="240"/>
      <c r="F5" s="233" t="s">
        <v>51</v>
      </c>
      <c r="G5" s="226" t="s">
        <v>100</v>
      </c>
      <c r="H5" s="226" t="s">
        <v>113</v>
      </c>
    </row>
    <row r="6" spans="1:8" ht="25.5">
      <c r="A6" s="237"/>
      <c r="B6" s="239"/>
      <c r="C6" s="24" t="s">
        <v>96</v>
      </c>
      <c r="D6" s="9" t="s">
        <v>97</v>
      </c>
      <c r="E6" s="31" t="s">
        <v>98</v>
      </c>
      <c r="F6" s="233"/>
      <c r="G6" s="226"/>
      <c r="H6" s="226"/>
    </row>
    <row r="7" spans="1:8" ht="12.75">
      <c r="A7" s="237"/>
      <c r="B7" s="239"/>
      <c r="C7" s="8" t="s">
        <v>2</v>
      </c>
      <c r="D7" s="10" t="s">
        <v>2</v>
      </c>
      <c r="E7" s="32" t="s">
        <v>2</v>
      </c>
      <c r="F7" s="233"/>
      <c r="G7" s="226"/>
      <c r="H7" s="226"/>
    </row>
    <row r="8" spans="1:7" ht="15" customHeight="1" thickBot="1">
      <c r="A8" s="43">
        <v>1</v>
      </c>
      <c r="B8" s="44">
        <v>2</v>
      </c>
      <c r="C8" s="44">
        <v>3</v>
      </c>
      <c r="D8" s="45">
        <v>4</v>
      </c>
      <c r="E8" s="46">
        <v>5</v>
      </c>
      <c r="F8" s="41"/>
      <c r="G8" s="39"/>
    </row>
    <row r="9" spans="1:7" ht="28.5" customHeight="1" thickBot="1">
      <c r="A9" s="227" t="s">
        <v>41</v>
      </c>
      <c r="B9" s="228"/>
      <c r="C9" s="228"/>
      <c r="D9" s="228"/>
      <c r="E9" s="229"/>
      <c r="F9" s="41"/>
      <c r="G9" s="39"/>
    </row>
    <row r="10" spans="1:8" ht="12.75">
      <c r="A10" s="60" t="s">
        <v>3</v>
      </c>
      <c r="B10" s="61" t="s">
        <v>95</v>
      </c>
      <c r="C10" s="67">
        <v>0</v>
      </c>
      <c r="D10" s="71">
        <f>ROUND(0.19*C10,2)</f>
        <v>0</v>
      </c>
      <c r="E10" s="72">
        <f>D10+C10</f>
        <v>0</v>
      </c>
      <c r="F10" s="40" t="s">
        <v>29</v>
      </c>
      <c r="G10" s="39" t="s">
        <v>101</v>
      </c>
      <c r="H10" s="39" t="s">
        <v>101</v>
      </c>
    </row>
    <row r="11" spans="1:36" s="19" customFormat="1" ht="12.75">
      <c r="A11" s="34" t="s">
        <v>4</v>
      </c>
      <c r="B11" s="47" t="s">
        <v>94</v>
      </c>
      <c r="C11" s="68">
        <v>0</v>
      </c>
      <c r="D11" s="73">
        <f>ROUND(0.19*C11,2)</f>
        <v>0</v>
      </c>
      <c r="E11" s="74">
        <f>D11+C11</f>
        <v>0</v>
      </c>
      <c r="F11" s="40" t="s">
        <v>30</v>
      </c>
      <c r="G11" s="39" t="s">
        <v>106</v>
      </c>
      <c r="H11" s="39" t="s">
        <v>106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8" ht="25.5">
      <c r="A12" s="34" t="s">
        <v>5</v>
      </c>
      <c r="B12" s="23" t="s">
        <v>42</v>
      </c>
      <c r="C12" s="69">
        <v>0</v>
      </c>
      <c r="D12" s="73">
        <f>ROUND(0.19*C12,2)</f>
        <v>0</v>
      </c>
      <c r="E12" s="74">
        <f>D12+C12</f>
        <v>0</v>
      </c>
      <c r="F12" s="40" t="s">
        <v>29</v>
      </c>
      <c r="G12" s="39" t="s">
        <v>106</v>
      </c>
      <c r="H12" s="39" t="s">
        <v>106</v>
      </c>
    </row>
    <row r="13" spans="1:36" s="19" customFormat="1" ht="19.5" customHeight="1">
      <c r="A13" s="35" t="s">
        <v>52</v>
      </c>
      <c r="B13" s="23" t="s">
        <v>53</v>
      </c>
      <c r="C13" s="68">
        <v>0</v>
      </c>
      <c r="D13" s="73">
        <f>ROUND(0.19*C13,2)</f>
        <v>0</v>
      </c>
      <c r="E13" s="74">
        <f>D13+C13</f>
        <v>0</v>
      </c>
      <c r="F13" s="40" t="s">
        <v>30</v>
      </c>
      <c r="G13" s="39" t="s">
        <v>106</v>
      </c>
      <c r="H13" s="39" t="s">
        <v>106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7" ht="16.5" customHeight="1" thickBot="1">
      <c r="A14" s="58"/>
      <c r="B14" s="59" t="s">
        <v>39</v>
      </c>
      <c r="C14" s="70">
        <f>_xlfn.SUMIFS(C10:C13,$F$10:$F$13,"&lt;&gt;")</f>
        <v>0</v>
      </c>
      <c r="D14" s="70">
        <f>_xlfn.SUMIFS(D10:D13,$F$10:$F$13,"&lt;&gt;0")</f>
        <v>0</v>
      </c>
      <c r="E14" s="70">
        <f>_xlfn.SUMIFS(E10:E13,$F$10:$F$13,"&lt;&gt;0")</f>
        <v>0</v>
      </c>
      <c r="F14" s="40"/>
      <c r="G14" s="39"/>
    </row>
    <row r="15" spans="1:7" ht="34.5" customHeight="1">
      <c r="A15" s="227" t="s">
        <v>43</v>
      </c>
      <c r="B15" s="228"/>
      <c r="C15" s="228"/>
      <c r="D15" s="228"/>
      <c r="E15" s="229"/>
      <c r="F15" s="40"/>
      <c r="G15" s="39"/>
    </row>
    <row r="16" spans="1:8" ht="25.5">
      <c r="A16" s="34">
        <v>2</v>
      </c>
      <c r="B16" s="23" t="s">
        <v>54</v>
      </c>
      <c r="C16" s="69">
        <v>0</v>
      </c>
      <c r="D16" s="73">
        <f>ROUND(0.19*C16,2)</f>
        <v>0</v>
      </c>
      <c r="E16" s="74">
        <f>D16+C16</f>
        <v>0</v>
      </c>
      <c r="F16" s="40" t="s">
        <v>30</v>
      </c>
      <c r="G16" s="41" t="s">
        <v>106</v>
      </c>
      <c r="H16" s="41" t="s">
        <v>106</v>
      </c>
    </row>
    <row r="17" spans="1:7" ht="16.5" customHeight="1" thickBot="1">
      <c r="A17" s="52"/>
      <c r="B17" s="62" t="s">
        <v>40</v>
      </c>
      <c r="C17" s="70">
        <f>_xlfn.SUMIFS(C16,$F$16,"&lt;&gt;")</f>
        <v>0</v>
      </c>
      <c r="D17" s="70">
        <f>_xlfn.SUMIFS(D16,$F$16,"&lt;&gt;0")</f>
        <v>0</v>
      </c>
      <c r="E17" s="75">
        <f>_xlfn.SUMIFS(E16,$F$16,"&lt;&gt;0")</f>
        <v>0</v>
      </c>
      <c r="F17" s="40"/>
      <c r="G17" s="39"/>
    </row>
    <row r="18" spans="1:7" ht="27.75" customHeight="1" thickBot="1">
      <c r="A18" s="227" t="s">
        <v>44</v>
      </c>
      <c r="B18" s="228"/>
      <c r="C18" s="228"/>
      <c r="D18" s="228"/>
      <c r="E18" s="229"/>
      <c r="F18" s="40"/>
      <c r="G18" s="39"/>
    </row>
    <row r="19" spans="1:8" ht="12.75">
      <c r="A19" s="60" t="s">
        <v>6</v>
      </c>
      <c r="B19" s="66" t="s">
        <v>55</v>
      </c>
      <c r="C19" s="67">
        <v>8000</v>
      </c>
      <c r="D19" s="80">
        <f aca="true" t="shared" si="0" ref="D19:D32">ROUND(0.19*C19,2)</f>
        <v>1520</v>
      </c>
      <c r="E19" s="81">
        <f aca="true" t="shared" si="1" ref="E19:E32">D19+C19</f>
        <v>9520</v>
      </c>
      <c r="F19" s="40" t="s">
        <v>29</v>
      </c>
      <c r="G19" s="39" t="s">
        <v>106</v>
      </c>
      <c r="H19" s="39" t="s">
        <v>101</v>
      </c>
    </row>
    <row r="20" spans="1:8" ht="25.5">
      <c r="A20" s="34" t="s">
        <v>7</v>
      </c>
      <c r="B20" s="23" t="s">
        <v>56</v>
      </c>
      <c r="C20" s="69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106</v>
      </c>
      <c r="H20" s="39" t="s">
        <v>101</v>
      </c>
    </row>
    <row r="21" spans="1:8" ht="12.75">
      <c r="A21" s="35" t="s">
        <v>8</v>
      </c>
      <c r="B21" s="23" t="s">
        <v>57</v>
      </c>
      <c r="C21" s="69">
        <v>5000</v>
      </c>
      <c r="D21" s="78">
        <f t="shared" si="0"/>
        <v>950</v>
      </c>
      <c r="E21" s="79">
        <f t="shared" si="1"/>
        <v>5950</v>
      </c>
      <c r="F21" s="40" t="s">
        <v>29</v>
      </c>
      <c r="G21" s="39" t="s">
        <v>106</v>
      </c>
      <c r="H21" s="39" t="s">
        <v>101</v>
      </c>
    </row>
    <row r="22" spans="1:8" ht="25.5">
      <c r="A22" s="35" t="s">
        <v>9</v>
      </c>
      <c r="B22" s="23" t="s">
        <v>58</v>
      </c>
      <c r="C22" s="69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106</v>
      </c>
      <c r="H22" s="39" t="s">
        <v>101</v>
      </c>
    </row>
    <row r="23" spans="1:8" ht="12.75">
      <c r="A23" s="35" t="s">
        <v>10</v>
      </c>
      <c r="B23" s="48" t="s">
        <v>59</v>
      </c>
      <c r="C23" s="78">
        <f>SUM(C24:C29)</f>
        <v>86270.18</v>
      </c>
      <c r="D23" s="78">
        <f>SUM(D24:D29)</f>
        <v>16391.329999999998</v>
      </c>
      <c r="E23" s="79">
        <f>SUM(E24:E29)</f>
        <v>102661.51000000001</v>
      </c>
      <c r="F23" s="40"/>
      <c r="G23" s="39"/>
      <c r="H23" s="39"/>
    </row>
    <row r="24" spans="1:8" ht="12.75">
      <c r="A24" s="63" t="s">
        <v>60</v>
      </c>
      <c r="B24" s="64" t="s">
        <v>61</v>
      </c>
      <c r="C24" s="76">
        <v>0</v>
      </c>
      <c r="D24" s="82">
        <f t="shared" si="0"/>
        <v>0</v>
      </c>
      <c r="E24" s="83">
        <f t="shared" si="1"/>
        <v>0</v>
      </c>
      <c r="F24" s="40" t="s">
        <v>29</v>
      </c>
      <c r="G24" s="39" t="s">
        <v>106</v>
      </c>
      <c r="H24" s="39" t="s">
        <v>101</v>
      </c>
    </row>
    <row r="25" spans="1:8" ht="12.75">
      <c r="A25" s="63" t="s">
        <v>62</v>
      </c>
      <c r="B25" s="64" t="s">
        <v>63</v>
      </c>
      <c r="C25" s="76">
        <v>0</v>
      </c>
      <c r="D25" s="82">
        <f t="shared" si="0"/>
        <v>0</v>
      </c>
      <c r="E25" s="83">
        <f t="shared" si="1"/>
        <v>0</v>
      </c>
      <c r="F25" s="40" t="s">
        <v>29</v>
      </c>
      <c r="G25" s="39" t="s">
        <v>106</v>
      </c>
      <c r="H25" s="39" t="s">
        <v>101</v>
      </c>
    </row>
    <row r="26" spans="1:8" ht="24">
      <c r="A26" s="63" t="s">
        <v>64</v>
      </c>
      <c r="B26" s="65" t="s">
        <v>65</v>
      </c>
      <c r="C26" s="76">
        <v>33420</v>
      </c>
      <c r="D26" s="82">
        <f t="shared" si="0"/>
        <v>6349.8</v>
      </c>
      <c r="E26" s="83">
        <f t="shared" si="1"/>
        <v>39769.8</v>
      </c>
      <c r="F26" s="40" t="s">
        <v>29</v>
      </c>
      <c r="G26" s="39" t="s">
        <v>106</v>
      </c>
      <c r="H26" s="39" t="s">
        <v>101</v>
      </c>
    </row>
    <row r="27" spans="1:8" ht="24">
      <c r="A27" s="63" t="s">
        <v>66</v>
      </c>
      <c r="B27" s="65" t="s">
        <v>67</v>
      </c>
      <c r="C27" s="76">
        <v>3500</v>
      </c>
      <c r="D27" s="84">
        <f t="shared" si="0"/>
        <v>665</v>
      </c>
      <c r="E27" s="85">
        <f t="shared" si="1"/>
        <v>4165</v>
      </c>
      <c r="F27" s="40" t="s">
        <v>30</v>
      </c>
      <c r="G27" s="39" t="s">
        <v>106</v>
      </c>
      <c r="H27" s="39" t="s">
        <v>101</v>
      </c>
    </row>
    <row r="28" spans="1:8" ht="24">
      <c r="A28" s="63" t="s">
        <v>68</v>
      </c>
      <c r="B28" s="65" t="s">
        <v>105</v>
      </c>
      <c r="C28" s="76">
        <v>10000</v>
      </c>
      <c r="D28" s="84">
        <f t="shared" si="0"/>
        <v>1900</v>
      </c>
      <c r="E28" s="85">
        <f t="shared" si="1"/>
        <v>11900</v>
      </c>
      <c r="F28" s="40" t="s">
        <v>30</v>
      </c>
      <c r="G28" s="39" t="s">
        <v>106</v>
      </c>
      <c r="H28" s="39" t="s">
        <v>101</v>
      </c>
    </row>
    <row r="29" spans="1:8" ht="12.75">
      <c r="A29" s="63" t="s">
        <v>69</v>
      </c>
      <c r="B29" s="65" t="s">
        <v>70</v>
      </c>
      <c r="C29" s="76">
        <v>39350.18</v>
      </c>
      <c r="D29" s="84">
        <f t="shared" si="0"/>
        <v>7476.53</v>
      </c>
      <c r="E29" s="85">
        <f t="shared" si="1"/>
        <v>46826.71</v>
      </c>
      <c r="F29" s="40" t="s">
        <v>30</v>
      </c>
      <c r="G29" s="39" t="s">
        <v>106</v>
      </c>
      <c r="H29" s="39" t="s">
        <v>101</v>
      </c>
    </row>
    <row r="30" spans="1:36" s="20" customFormat="1" ht="12.75">
      <c r="A30" s="35" t="s">
        <v>12</v>
      </c>
      <c r="B30" s="23" t="s">
        <v>45</v>
      </c>
      <c r="C30" s="69">
        <v>0</v>
      </c>
      <c r="D30" s="78">
        <f t="shared" si="0"/>
        <v>0</v>
      </c>
      <c r="E30" s="79">
        <f t="shared" si="1"/>
        <v>0</v>
      </c>
      <c r="F30" s="42" t="s">
        <v>29</v>
      </c>
      <c r="G30" s="39" t="s">
        <v>106</v>
      </c>
      <c r="H30" s="39" t="s">
        <v>101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20" customFormat="1" ht="12.75">
      <c r="A31" s="35" t="s">
        <v>71</v>
      </c>
      <c r="B31" s="23" t="s">
        <v>11</v>
      </c>
      <c r="C31" s="69">
        <v>0</v>
      </c>
      <c r="D31" s="78">
        <f t="shared" si="0"/>
        <v>0</v>
      </c>
      <c r="E31" s="79">
        <f t="shared" si="1"/>
        <v>0</v>
      </c>
      <c r="F31" s="42" t="s">
        <v>29</v>
      </c>
      <c r="G31" s="39" t="s">
        <v>106</v>
      </c>
      <c r="H31" s="39" t="s">
        <v>101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8" ht="12.75">
      <c r="A32" s="56" t="s">
        <v>72</v>
      </c>
      <c r="B32" s="57" t="s">
        <v>13</v>
      </c>
      <c r="C32" s="77">
        <v>48659.04</v>
      </c>
      <c r="D32" s="86">
        <f t="shared" si="0"/>
        <v>9245.22</v>
      </c>
      <c r="E32" s="87">
        <f t="shared" si="1"/>
        <v>57904.26</v>
      </c>
      <c r="F32" s="42" t="s">
        <v>29</v>
      </c>
      <c r="G32" s="39" t="s">
        <v>106</v>
      </c>
      <c r="H32" s="39" t="s">
        <v>101</v>
      </c>
    </row>
    <row r="33" spans="1:7" ht="16.5" customHeight="1" thickBot="1">
      <c r="A33" s="58"/>
      <c r="B33" s="59" t="s">
        <v>36</v>
      </c>
      <c r="C33" s="88">
        <f>_xlfn.SUMIFS(C19:C32,$F$19:$F$32,"&lt;&gt;")</f>
        <v>147929.22</v>
      </c>
      <c r="D33" s="88">
        <f>_xlfn.SUMIFS(D19:D32,$F$19:$F$32,"&lt;&gt;")</f>
        <v>28106.549999999996</v>
      </c>
      <c r="E33" s="89">
        <f>_xlfn.SUMIFS(E19:E32,$F$19:$F$32,"&lt;&gt;")</f>
        <v>176035.77000000002</v>
      </c>
      <c r="F33" s="40"/>
      <c r="G33" s="39"/>
    </row>
    <row r="34" spans="1:7" ht="26.25" customHeight="1">
      <c r="A34" s="230" t="s">
        <v>46</v>
      </c>
      <c r="B34" s="231"/>
      <c r="C34" s="231"/>
      <c r="D34" s="231"/>
      <c r="E34" s="232"/>
      <c r="F34" s="40"/>
      <c r="G34" s="39"/>
    </row>
    <row r="35" spans="1:7" ht="12.75">
      <c r="A35" s="34" t="s">
        <v>14</v>
      </c>
      <c r="B35" s="23" t="s">
        <v>102</v>
      </c>
      <c r="C35" s="78">
        <f>C36+C37</f>
        <v>13601411.042</v>
      </c>
      <c r="D35" s="78">
        <f>D36+D37</f>
        <v>2584268.1</v>
      </c>
      <c r="E35" s="79">
        <f>E36+E37</f>
        <v>16185679.141999999</v>
      </c>
      <c r="F35" s="40"/>
      <c r="G35" s="39"/>
    </row>
    <row r="36" spans="1:8" ht="12.75">
      <c r="A36" s="51" t="str">
        <f>A35&amp;".1"</f>
        <v>4.1.1</v>
      </c>
      <c r="B36" s="50" t="s">
        <v>103</v>
      </c>
      <c r="C36" s="76">
        <v>13601411.042</v>
      </c>
      <c r="D36" s="82">
        <f>ROUND(0.19*C36,2)</f>
        <v>2584268.1</v>
      </c>
      <c r="E36" s="83">
        <f>D36+C36</f>
        <v>16185679.141999999</v>
      </c>
      <c r="F36" s="40" t="s">
        <v>30</v>
      </c>
      <c r="G36" s="39" t="s">
        <v>106</v>
      </c>
      <c r="H36" s="39" t="s">
        <v>106</v>
      </c>
    </row>
    <row r="37" spans="1:8" ht="12.75">
      <c r="A37" s="51" t="str">
        <f>A35&amp;".2"</f>
        <v>4.1.2</v>
      </c>
      <c r="B37" s="11" t="s">
        <v>104</v>
      </c>
      <c r="C37" s="76">
        <v>0</v>
      </c>
      <c r="D37" s="82">
        <f>ROUND(0.19*C37,2)</f>
        <v>0</v>
      </c>
      <c r="E37" s="83">
        <f>D37+C37</f>
        <v>0</v>
      </c>
      <c r="F37" s="40" t="s">
        <v>30</v>
      </c>
      <c r="G37" s="39" t="s">
        <v>101</v>
      </c>
      <c r="H37" s="39" t="s">
        <v>106</v>
      </c>
    </row>
    <row r="38" spans="1:8" ht="25.5">
      <c r="A38" s="34" t="s">
        <v>15</v>
      </c>
      <c r="B38" s="23" t="s">
        <v>73</v>
      </c>
      <c r="C38" s="78">
        <f>C39+C40</f>
        <v>0</v>
      </c>
      <c r="D38" s="78">
        <f>D39+D40</f>
        <v>0</v>
      </c>
      <c r="E38" s="79">
        <f>E39+E40</f>
        <v>0</v>
      </c>
      <c r="F38" s="40"/>
      <c r="G38" s="39"/>
      <c r="H38" s="39"/>
    </row>
    <row r="39" spans="1:8" ht="12.75">
      <c r="A39" s="51" t="str">
        <f>A38&amp;".1"</f>
        <v>4.2.1</v>
      </c>
      <c r="B39" s="50" t="s">
        <v>103</v>
      </c>
      <c r="C39" s="76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106</v>
      </c>
      <c r="H39" s="39" t="s">
        <v>106</v>
      </c>
    </row>
    <row r="40" spans="1:8" ht="12.75">
      <c r="A40" s="51" t="str">
        <f>A38&amp;".2"</f>
        <v>4.2.2</v>
      </c>
      <c r="B40" s="11" t="s">
        <v>104</v>
      </c>
      <c r="C40" s="76">
        <v>0</v>
      </c>
      <c r="D40" s="82">
        <f>ROUND(0.19*C40,2)</f>
        <v>0</v>
      </c>
      <c r="E40" s="83">
        <f>D40+C40</f>
        <v>0</v>
      </c>
      <c r="F40" s="40" t="s">
        <v>30</v>
      </c>
      <c r="G40" s="39" t="s">
        <v>101</v>
      </c>
      <c r="H40" s="39" t="s">
        <v>106</v>
      </c>
    </row>
    <row r="41" spans="1:8" ht="25.5">
      <c r="A41" s="34" t="s">
        <v>16</v>
      </c>
      <c r="B41" s="23" t="s">
        <v>74</v>
      </c>
      <c r="C41" s="78">
        <f>C42+C43</f>
        <v>0</v>
      </c>
      <c r="D41" s="78">
        <f>D42+D43</f>
        <v>0</v>
      </c>
      <c r="E41" s="79">
        <f>E42+E43</f>
        <v>0</v>
      </c>
      <c r="F41" s="40"/>
      <c r="G41" s="39"/>
      <c r="H41" s="39"/>
    </row>
    <row r="42" spans="1:8" ht="12.75">
      <c r="A42" s="51" t="str">
        <f>A41&amp;".1"</f>
        <v>4.3.1</v>
      </c>
      <c r="B42" s="50" t="s">
        <v>103</v>
      </c>
      <c r="C42" s="76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106</v>
      </c>
      <c r="H42" s="39" t="s">
        <v>101</v>
      </c>
    </row>
    <row r="43" spans="1:8" ht="12.75">
      <c r="A43" s="51" t="str">
        <f>A41&amp;".2"</f>
        <v>4.3.2</v>
      </c>
      <c r="B43" s="11" t="s">
        <v>104</v>
      </c>
      <c r="C43" s="76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101</v>
      </c>
      <c r="H43" s="39" t="s">
        <v>101</v>
      </c>
    </row>
    <row r="44" spans="1:36" s="25" customFormat="1" ht="25.5">
      <c r="A44" s="34" t="s">
        <v>17</v>
      </c>
      <c r="B44" s="23" t="s">
        <v>75</v>
      </c>
      <c r="C44" s="78">
        <f>C45+C46</f>
        <v>0</v>
      </c>
      <c r="D44" s="78">
        <f>D45+D46</f>
        <v>0</v>
      </c>
      <c r="E44" s="79">
        <f>E45+E46</f>
        <v>0</v>
      </c>
      <c r="F44" s="41"/>
      <c r="G44" s="39"/>
      <c r="H44" s="3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8" ht="12.75">
      <c r="A45" s="51" t="str">
        <f>A44&amp;".1"</f>
        <v>4.4.1</v>
      </c>
      <c r="B45" s="50" t="s">
        <v>103</v>
      </c>
      <c r="C45" s="76">
        <v>0</v>
      </c>
      <c r="D45" s="82">
        <f>ROUND(0.19*C45,2)</f>
        <v>0</v>
      </c>
      <c r="E45" s="83">
        <f>D45+C45</f>
        <v>0</v>
      </c>
      <c r="F45" s="40" t="s">
        <v>30</v>
      </c>
      <c r="G45" s="39" t="s">
        <v>106</v>
      </c>
      <c r="H45" s="39" t="s">
        <v>101</v>
      </c>
    </row>
    <row r="46" spans="1:8" ht="12.75">
      <c r="A46" s="51" t="str">
        <f>A44&amp;".2"</f>
        <v>4.4.2</v>
      </c>
      <c r="B46" s="11" t="s">
        <v>104</v>
      </c>
      <c r="C46" s="76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101</v>
      </c>
      <c r="H46" s="39" t="s">
        <v>101</v>
      </c>
    </row>
    <row r="47" spans="1:8" ht="12.75">
      <c r="A47" s="34" t="s">
        <v>18</v>
      </c>
      <c r="B47" s="23" t="s">
        <v>47</v>
      </c>
      <c r="C47" s="78">
        <f>C48+C49</f>
        <v>0</v>
      </c>
      <c r="D47" s="78">
        <f>D48+D49</f>
        <v>0</v>
      </c>
      <c r="E47" s="79">
        <f>E48+E49</f>
        <v>0</v>
      </c>
      <c r="F47" s="40"/>
      <c r="G47" s="39"/>
      <c r="H47" s="39"/>
    </row>
    <row r="48" spans="1:8" ht="12.75">
      <c r="A48" s="51" t="str">
        <f>A47&amp;".1"</f>
        <v>4.5.1</v>
      </c>
      <c r="B48" s="50" t="s">
        <v>103</v>
      </c>
      <c r="C48" s="76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106</v>
      </c>
      <c r="H48" s="39" t="s">
        <v>101</v>
      </c>
    </row>
    <row r="49" spans="1:8" ht="12.75">
      <c r="A49" s="51" t="str">
        <f>A47&amp;".2"</f>
        <v>4.5.2</v>
      </c>
      <c r="B49" s="11" t="s">
        <v>104</v>
      </c>
      <c r="C49" s="76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101</v>
      </c>
      <c r="H49" s="39" t="s">
        <v>101</v>
      </c>
    </row>
    <row r="50" spans="1:8" ht="12.75">
      <c r="A50" s="34" t="s">
        <v>26</v>
      </c>
      <c r="B50" s="23" t="s">
        <v>27</v>
      </c>
      <c r="C50" s="78">
        <f>C51+C52</f>
        <v>0</v>
      </c>
      <c r="D50" s="78">
        <f>D51+D52</f>
        <v>0</v>
      </c>
      <c r="E50" s="79">
        <f>E51+E52</f>
        <v>0</v>
      </c>
      <c r="F50" s="40"/>
      <c r="G50" s="39"/>
      <c r="H50" s="39"/>
    </row>
    <row r="51" spans="1:8" ht="12.75">
      <c r="A51" s="51" t="str">
        <f>A50&amp;".1"</f>
        <v>4.6.1</v>
      </c>
      <c r="B51" s="50" t="s">
        <v>103</v>
      </c>
      <c r="C51" s="76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106</v>
      </c>
      <c r="H51" s="39" t="s">
        <v>101</v>
      </c>
    </row>
    <row r="52" spans="1:8" ht="12.75">
      <c r="A52" s="51" t="str">
        <f>A50&amp;".2"</f>
        <v>4.6.2</v>
      </c>
      <c r="B52" s="11" t="s">
        <v>104</v>
      </c>
      <c r="C52" s="76">
        <v>0</v>
      </c>
      <c r="D52" s="82">
        <f>ROUND(0.19*C52,2)</f>
        <v>0</v>
      </c>
      <c r="E52" s="83">
        <f>D52+C52</f>
        <v>0</v>
      </c>
      <c r="F52" s="40" t="s">
        <v>30</v>
      </c>
      <c r="G52" s="39" t="s">
        <v>101</v>
      </c>
      <c r="H52" s="39" t="s">
        <v>101</v>
      </c>
    </row>
    <row r="53" spans="1:8" ht="15" thickBot="1">
      <c r="A53" s="52"/>
      <c r="B53" s="59" t="s">
        <v>35</v>
      </c>
      <c r="C53" s="88">
        <f>_xlfn.SUMIFS(C35:C52,$F$35:$F$52,"&lt;&gt;")</f>
        <v>13601411.042</v>
      </c>
      <c r="D53" s="88">
        <f>_xlfn.SUMIFS(D35:D52,$F$35:$F$52,"&lt;&gt;")</f>
        <v>2584268.1</v>
      </c>
      <c r="E53" s="89">
        <f>_xlfn.SUMIFS(E35:E52,$F$35:$F$52,"&lt;&gt;")</f>
        <v>16185679.141999999</v>
      </c>
      <c r="F53" s="40"/>
      <c r="G53" s="39"/>
      <c r="H53" s="39"/>
    </row>
    <row r="54" spans="1:8" ht="25.5" customHeight="1">
      <c r="A54" s="227" t="s">
        <v>19</v>
      </c>
      <c r="B54" s="228"/>
      <c r="C54" s="228"/>
      <c r="D54" s="228"/>
      <c r="E54" s="229"/>
      <c r="F54" s="40"/>
      <c r="G54" s="39"/>
      <c r="H54" s="39"/>
    </row>
    <row r="55" spans="1:8" ht="15" customHeight="1">
      <c r="A55" s="34" t="s">
        <v>20</v>
      </c>
      <c r="B55" s="47" t="s">
        <v>90</v>
      </c>
      <c r="C55" s="78">
        <f>C56+C57</f>
        <v>0</v>
      </c>
      <c r="D55" s="78">
        <f>D56+D57</f>
        <v>0</v>
      </c>
      <c r="E55" s="79">
        <f>E56+E57</f>
        <v>0</v>
      </c>
      <c r="F55" s="40"/>
      <c r="G55" s="39"/>
      <c r="H55" s="39"/>
    </row>
    <row r="56" spans="1:8" ht="25.5">
      <c r="A56" s="49" t="s">
        <v>34</v>
      </c>
      <c r="B56" s="50" t="s">
        <v>76</v>
      </c>
      <c r="C56" s="76">
        <v>0</v>
      </c>
      <c r="D56" s="78">
        <f>ROUND(0.19*C56,2)</f>
        <v>0</v>
      </c>
      <c r="E56" s="79">
        <f>D56+C56</f>
        <v>0</v>
      </c>
      <c r="F56" s="40" t="s">
        <v>30</v>
      </c>
      <c r="G56" s="39" t="s">
        <v>106</v>
      </c>
      <c r="H56" s="39" t="s">
        <v>106</v>
      </c>
    </row>
    <row r="57" spans="1:8" ht="15.75" customHeight="1">
      <c r="A57" s="49" t="s">
        <v>48</v>
      </c>
      <c r="B57" s="11" t="s">
        <v>77</v>
      </c>
      <c r="C57" s="76">
        <v>0</v>
      </c>
      <c r="D57" s="78">
        <f>ROUND(0.19*C57,2)</f>
        <v>0</v>
      </c>
      <c r="E57" s="79">
        <f>D57+C57</f>
        <v>0</v>
      </c>
      <c r="F57" s="40" t="s">
        <v>29</v>
      </c>
      <c r="G57" s="39" t="s">
        <v>106</v>
      </c>
      <c r="H57" s="39" t="s">
        <v>101</v>
      </c>
    </row>
    <row r="58" spans="1:8" ht="26.25" customHeight="1">
      <c r="A58" s="34" t="s">
        <v>21</v>
      </c>
      <c r="B58" s="23" t="s">
        <v>49</v>
      </c>
      <c r="C58" s="78">
        <f>SUM(C59:C63)</f>
        <v>149615.52146199998</v>
      </c>
      <c r="D58" s="78">
        <f>SUM(D59:D63)</f>
        <v>28426.95</v>
      </c>
      <c r="E58" s="79">
        <f>SUM(E59:E63)</f>
        <v>178042.471462</v>
      </c>
      <c r="F58" s="40"/>
      <c r="G58" s="39"/>
      <c r="H58" s="39"/>
    </row>
    <row r="59" spans="1:8" ht="25.5">
      <c r="A59" s="33" t="s">
        <v>78</v>
      </c>
      <c r="B59" s="21" t="s">
        <v>79</v>
      </c>
      <c r="C59" s="76">
        <v>0</v>
      </c>
      <c r="D59" s="78">
        <f aca="true" t="shared" si="2" ref="D59:D65">ROUND(0.19*C59,2)</f>
        <v>0</v>
      </c>
      <c r="E59" s="79">
        <f aca="true" t="shared" si="3" ref="E59:E65">D59+C59</f>
        <v>0</v>
      </c>
      <c r="F59" s="40" t="s">
        <v>29</v>
      </c>
      <c r="G59" s="39" t="s">
        <v>106</v>
      </c>
      <c r="H59" s="39" t="s">
        <v>101</v>
      </c>
    </row>
    <row r="60" spans="1:8" s="22" customFormat="1" ht="25.5">
      <c r="A60" s="33" t="s">
        <v>80</v>
      </c>
      <c r="B60" s="21" t="s">
        <v>81</v>
      </c>
      <c r="C60" s="76">
        <f>C36*0.5/100</f>
        <v>68007.05520999999</v>
      </c>
      <c r="D60" s="78">
        <f t="shared" si="2"/>
        <v>12921.34</v>
      </c>
      <c r="E60" s="79">
        <f t="shared" si="3"/>
        <v>80928.39520999999</v>
      </c>
      <c r="F60" s="40" t="s">
        <v>30</v>
      </c>
      <c r="G60" s="39" t="s">
        <v>106</v>
      </c>
      <c r="H60" s="39" t="s">
        <v>101</v>
      </c>
    </row>
    <row r="61" spans="1:8" s="22" customFormat="1" ht="38.25">
      <c r="A61" s="33" t="s">
        <v>82</v>
      </c>
      <c r="B61" s="21" t="s">
        <v>83</v>
      </c>
      <c r="C61" s="76">
        <f>C36*0.1/100</f>
        <v>13601.411042</v>
      </c>
      <c r="D61" s="78">
        <f t="shared" si="2"/>
        <v>2584.27</v>
      </c>
      <c r="E61" s="79">
        <f t="shared" si="3"/>
        <v>16185.681042</v>
      </c>
      <c r="F61" s="40" t="s">
        <v>30</v>
      </c>
      <c r="G61" s="39" t="s">
        <v>106</v>
      </c>
      <c r="H61" s="39" t="s">
        <v>101</v>
      </c>
    </row>
    <row r="62" spans="1:8" s="22" customFormat="1" ht="12.75">
      <c r="A62" s="33" t="s">
        <v>84</v>
      </c>
      <c r="B62" s="21" t="s">
        <v>85</v>
      </c>
      <c r="C62" s="76">
        <f>C60</f>
        <v>68007.05520999999</v>
      </c>
      <c r="D62" s="78">
        <f t="shared" si="2"/>
        <v>12921.34</v>
      </c>
      <c r="E62" s="79">
        <f t="shared" si="3"/>
        <v>80928.39520999999</v>
      </c>
      <c r="F62" s="40" t="s">
        <v>30</v>
      </c>
      <c r="G62" s="39" t="s">
        <v>106</v>
      </c>
      <c r="H62" s="39" t="s">
        <v>101</v>
      </c>
    </row>
    <row r="63" spans="1:8" ht="25.5">
      <c r="A63" s="33" t="s">
        <v>86</v>
      </c>
      <c r="B63" s="21" t="s">
        <v>87</v>
      </c>
      <c r="C63" s="76">
        <v>0</v>
      </c>
      <c r="D63" s="78">
        <f t="shared" si="2"/>
        <v>0</v>
      </c>
      <c r="E63" s="79">
        <f t="shared" si="3"/>
        <v>0</v>
      </c>
      <c r="F63" s="40" t="s">
        <v>29</v>
      </c>
      <c r="G63" s="39" t="s">
        <v>106</v>
      </c>
      <c r="H63" s="39" t="s">
        <v>101</v>
      </c>
    </row>
    <row r="64" spans="1:8" ht="12.75">
      <c r="A64" s="34" t="s">
        <v>22</v>
      </c>
      <c r="B64" s="23" t="s">
        <v>31</v>
      </c>
      <c r="C64" s="76">
        <f>C53*10/100</f>
        <v>1360141.1042</v>
      </c>
      <c r="D64" s="78">
        <f t="shared" si="2"/>
        <v>258426.81</v>
      </c>
      <c r="E64" s="79">
        <f t="shared" si="3"/>
        <v>1618567.9142</v>
      </c>
      <c r="F64" s="40" t="s">
        <v>30</v>
      </c>
      <c r="G64" s="39" t="s">
        <v>106</v>
      </c>
      <c r="H64" s="39" t="s">
        <v>101</v>
      </c>
    </row>
    <row r="65" spans="1:8" ht="12.75">
      <c r="A65" s="35" t="s">
        <v>88</v>
      </c>
      <c r="B65" s="23" t="s">
        <v>89</v>
      </c>
      <c r="C65" s="76">
        <v>10</v>
      </c>
      <c r="D65" s="78">
        <f t="shared" si="2"/>
        <v>1.9</v>
      </c>
      <c r="E65" s="79">
        <f t="shared" si="3"/>
        <v>11.9</v>
      </c>
      <c r="F65" s="40" t="s">
        <v>29</v>
      </c>
      <c r="G65" s="39" t="s">
        <v>106</v>
      </c>
      <c r="H65" s="39" t="s">
        <v>101</v>
      </c>
    </row>
    <row r="66" spans="1:8" ht="15" thickBot="1">
      <c r="A66" s="52"/>
      <c r="B66" s="62" t="s">
        <v>37</v>
      </c>
      <c r="C66" s="88">
        <f>_xlfn.SUMIFS(C55:C65,$F$55:$F$65,"&lt;&gt;")</f>
        <v>1509766.625662</v>
      </c>
      <c r="D66" s="88">
        <f>_xlfn.SUMIFS(D55:D65,$F$55:$F$65,"&lt;&gt;")</f>
        <v>286855.66000000003</v>
      </c>
      <c r="E66" s="89">
        <f>_xlfn.SUMIFS(E55:E65,$F$55:$F$65,"&lt;&gt;")</f>
        <v>1796622.2856619998</v>
      </c>
      <c r="F66" s="40"/>
      <c r="G66" s="39"/>
      <c r="H66" s="39"/>
    </row>
    <row r="67" spans="1:8" ht="27" customHeight="1">
      <c r="A67" s="227" t="s">
        <v>91</v>
      </c>
      <c r="B67" s="228"/>
      <c r="C67" s="228"/>
      <c r="D67" s="228"/>
      <c r="E67" s="229"/>
      <c r="F67" s="40"/>
      <c r="G67" s="39"/>
      <c r="H67" s="39"/>
    </row>
    <row r="68" spans="1:8" ht="12.75">
      <c r="A68" s="34" t="s">
        <v>23</v>
      </c>
      <c r="B68" s="23" t="s">
        <v>92</v>
      </c>
      <c r="C68" s="76">
        <v>0</v>
      </c>
      <c r="D68" s="78">
        <f>0.19*C68</f>
        <v>0</v>
      </c>
      <c r="E68" s="79">
        <f>C68*1.19</f>
        <v>0</v>
      </c>
      <c r="F68" s="40" t="s">
        <v>29</v>
      </c>
      <c r="G68" s="39" t="s">
        <v>106</v>
      </c>
      <c r="H68" s="39" t="s">
        <v>106</v>
      </c>
    </row>
    <row r="69" spans="1:8" ht="12.75">
      <c r="A69" s="34" t="s">
        <v>24</v>
      </c>
      <c r="B69" s="23" t="s">
        <v>50</v>
      </c>
      <c r="C69" s="76">
        <v>0</v>
      </c>
      <c r="D69" s="78">
        <f>ROUND(0.19*C69,2)</f>
        <v>0</v>
      </c>
      <c r="E69" s="79">
        <f>D69+C69</f>
        <v>0</v>
      </c>
      <c r="F69" s="40" t="s">
        <v>30</v>
      </c>
      <c r="G69" s="39" t="s">
        <v>106</v>
      </c>
      <c r="H69" s="39" t="s">
        <v>106</v>
      </c>
    </row>
    <row r="70" spans="1:7" ht="12.75" customHeight="1" thickBot="1">
      <c r="A70" s="52"/>
      <c r="B70" s="59" t="s">
        <v>38</v>
      </c>
      <c r="C70" s="88">
        <f>_xlfn.SUMIFS(C68:C69,$F$68:$F$69,"&lt;&gt;")</f>
        <v>0</v>
      </c>
      <c r="D70" s="88">
        <f>_xlfn.SUMIFS(D68:D69,$F$68:$F$69,"&lt;&gt;")</f>
        <v>0</v>
      </c>
      <c r="E70" s="89">
        <f>_xlfn.SUMIFS(E68:E69,$F$68:$F$69,"&lt;&gt;")</f>
        <v>0</v>
      </c>
      <c r="F70" s="40"/>
      <c r="G70" s="39"/>
    </row>
    <row r="71" spans="1:7" ht="21" customHeight="1" thickBot="1">
      <c r="A71" s="90"/>
      <c r="B71" s="91" t="s">
        <v>32</v>
      </c>
      <c r="C71" s="107">
        <f>_xlfn.SUMIFS(C10:C70,$F$10:$F$70,"&lt;&gt;")</f>
        <v>15259106.887662</v>
      </c>
      <c r="D71" s="107">
        <f>_xlfn.SUMIFS(D10:D70,$F$10:$F$70,"&lt;&gt;")</f>
        <v>2899230.3099999996</v>
      </c>
      <c r="E71" s="108">
        <f>_xlfn.SUMIFS(E10:E70,$F$10:$F$70,"&lt;&gt;")</f>
        <v>18158337.197661996</v>
      </c>
      <c r="F71" s="40"/>
      <c r="G71" s="39"/>
    </row>
    <row r="72" spans="1:7" ht="23.25" customHeight="1" thickBot="1">
      <c r="A72" s="92"/>
      <c r="B72" s="93" t="s">
        <v>93</v>
      </c>
      <c r="C72" s="107">
        <f>_xlfn.SUMIFS(C10:C70,$H$10:$H$70,"da")</f>
        <v>13601411.042</v>
      </c>
      <c r="D72" s="107">
        <f>_xlfn.SUMIFS(D10:D70,$H$10:$H$70,"da")</f>
        <v>2584268.1</v>
      </c>
      <c r="E72" s="108">
        <f>_xlfn.SUMIFS(E10:E70,$H$10:$H$70,"da")</f>
        <v>16185679.141999999</v>
      </c>
      <c r="F72" s="40"/>
      <c r="G72" s="39"/>
    </row>
    <row r="73" spans="1:6" ht="12.75">
      <c r="A73" s="53"/>
      <c r="B73" s="54"/>
      <c r="C73" s="55"/>
      <c r="D73" s="55"/>
      <c r="E73" s="55"/>
      <c r="F73" s="3"/>
    </row>
    <row r="74" spans="1:6" ht="12.75">
      <c r="A74" s="53"/>
      <c r="B74" s="54"/>
      <c r="C74" s="55"/>
      <c r="D74" s="55"/>
      <c r="E74" s="55"/>
      <c r="F74" s="3"/>
    </row>
    <row r="75" spans="1:6" ht="12.75">
      <c r="A75" s="53"/>
      <c r="B75" s="54"/>
      <c r="C75" s="55"/>
      <c r="D75" s="55"/>
      <c r="E75" s="55"/>
      <c r="F75" s="3"/>
    </row>
    <row r="76" spans="1:6" ht="15.75">
      <c r="A76" s="53"/>
      <c r="B76" s="94" t="s">
        <v>99</v>
      </c>
      <c r="C76" s="95">
        <f>C77+C78</f>
        <v>18158337.197662</v>
      </c>
      <c r="D76" s="55"/>
      <c r="E76" s="55"/>
      <c r="F76" s="3"/>
    </row>
    <row r="77" spans="1:6" ht="21" customHeight="1">
      <c r="A77" s="53"/>
      <c r="B77" s="96" t="s">
        <v>30</v>
      </c>
      <c r="C77" s="97">
        <f>_xlfn.SUMIFS(E10:E69,F10:F69,"=buget de stat")</f>
        <v>18045181.237662</v>
      </c>
      <c r="D77" s="55"/>
      <c r="E77" s="55"/>
      <c r="F77" s="3"/>
    </row>
    <row r="78" spans="1:6" ht="21" customHeight="1">
      <c r="A78" s="53"/>
      <c r="B78" s="96" t="s">
        <v>29</v>
      </c>
      <c r="C78" s="98">
        <f>_xlfn.SUMIFS(E10:E69,F10:F69,"=buget local")</f>
        <v>113155.95999999999</v>
      </c>
      <c r="D78" s="55"/>
      <c r="E78" s="55"/>
      <c r="F78" s="3"/>
    </row>
    <row r="79" spans="1:6" ht="12.75">
      <c r="A79" s="6"/>
      <c r="B79" s="12"/>
      <c r="C79" s="12"/>
      <c r="D79" s="2"/>
      <c r="E79" s="2"/>
      <c r="F79" s="3"/>
    </row>
    <row r="80" spans="1:6" ht="31.5">
      <c r="A80" s="6"/>
      <c r="B80" s="113" t="s">
        <v>115</v>
      </c>
      <c r="C80" s="114" t="s">
        <v>109</v>
      </c>
      <c r="D80" s="114" t="s">
        <v>110</v>
      </c>
      <c r="E80" s="100"/>
      <c r="F80" s="101"/>
    </row>
    <row r="81" spans="1:6" ht="15.75">
      <c r="A81" s="6"/>
      <c r="B81" s="96" t="s">
        <v>111</v>
      </c>
      <c r="C81" s="97">
        <f>_xlfn.SUMIFS(C35:C52,G35:G52,"=da")</f>
        <v>13601411.042</v>
      </c>
      <c r="D81" s="97">
        <f>_xlfn.SUMIFS(C35:C52,G35:G52,"=nu")</f>
        <v>0</v>
      </c>
      <c r="E81" s="100"/>
      <c r="F81" s="101"/>
    </row>
    <row r="82" spans="1:6" ht="15.75">
      <c r="A82" s="6"/>
      <c r="B82" s="96" t="s">
        <v>112</v>
      </c>
      <c r="C82" s="97">
        <f>(_xlfn.SUMIFS(C35:C52,G35:G52,"=da")/((_xlfn.SUMIFS(C35:C52,G35:G52,"=da")+(_xlfn.SUMIFS(C35:C52,G35:G52,"=nu")))))*((_xlfn.SUMIFS(C10:C69,G10:G69,"=da")+(_xlfn.SUMIFS(C10:C69,G10:G69,"=nu"))))</f>
        <v>15259106.887662</v>
      </c>
      <c r="D82" s="97">
        <f>(_xlfn.SUMIFS(C35:C52,G35:G52,"=nu")/((_xlfn.SUMIFS(C35:C52,G35:G52,"=da")+(_xlfn.SUMIFS(C35:C52,G35:G52,"=nu")))))*((_xlfn.SUMIFS(C10:C69,G10:G69,"=da")+(_xlfn.SUMIFS(C10:C69,G10:G69,"=nu"))))</f>
        <v>0</v>
      </c>
      <c r="E82" s="100"/>
      <c r="F82" s="101"/>
    </row>
    <row r="83" spans="1:6" ht="15.75">
      <c r="A83" s="6"/>
      <c r="B83" s="96" t="s">
        <v>116</v>
      </c>
      <c r="C83" s="97">
        <f>C82/C88</f>
        <v>7629553.443831</v>
      </c>
      <c r="D83" s="97">
        <f>D82/C88</f>
        <v>0</v>
      </c>
      <c r="E83" s="100"/>
      <c r="F83" s="101"/>
    </row>
    <row r="84" spans="1:6" ht="15.75">
      <c r="A84" s="6"/>
      <c r="B84" s="96" t="s">
        <v>114</v>
      </c>
      <c r="C84" s="97">
        <f>C82/C88/C87</f>
        <v>1525910.6887661999</v>
      </c>
      <c r="D84" s="97">
        <f>D82/C88/C87</f>
        <v>0</v>
      </c>
      <c r="E84" s="100"/>
      <c r="F84" s="101"/>
    </row>
    <row r="85" spans="1:6" ht="15.75">
      <c r="A85" s="6"/>
      <c r="D85" s="99"/>
      <c r="E85" s="99"/>
      <c r="F85" s="102"/>
    </row>
    <row r="86" spans="1:6" ht="15.75">
      <c r="A86" s="7"/>
      <c r="B86" s="96" t="s">
        <v>107</v>
      </c>
      <c r="C86" s="109">
        <v>44449</v>
      </c>
      <c r="D86" s="103"/>
      <c r="E86" s="103"/>
      <c r="F86" s="102"/>
    </row>
    <row r="87" spans="1:6" ht="15.75">
      <c r="A87" s="13"/>
      <c r="B87" s="96" t="s">
        <v>108</v>
      </c>
      <c r="C87" s="110">
        <v>5</v>
      </c>
      <c r="D87" s="99"/>
      <c r="E87" s="99"/>
      <c r="F87" s="102"/>
    </row>
    <row r="88" spans="1:6" ht="15.75">
      <c r="A88" s="13"/>
      <c r="B88" s="111" t="s">
        <v>118</v>
      </c>
      <c r="C88" s="112">
        <v>2</v>
      </c>
      <c r="D88" s="104"/>
      <c r="E88" s="104"/>
      <c r="F88" s="102"/>
    </row>
    <row r="89" spans="1:5" ht="15.75">
      <c r="A89" s="13"/>
      <c r="C89" s="100"/>
      <c r="D89" s="100"/>
      <c r="E89" s="100"/>
    </row>
    <row r="90" ht="12.75">
      <c r="A90" s="13"/>
    </row>
    <row r="91" spans="1:5" ht="12.75">
      <c r="A91" s="13"/>
      <c r="B91" s="14"/>
      <c r="C91" s="15"/>
      <c r="D91" s="16"/>
      <c r="E91" s="16"/>
    </row>
    <row r="92" spans="1:5" ht="15.75">
      <c r="A92" s="18"/>
      <c r="B92" s="105" t="s">
        <v>25</v>
      </c>
      <c r="C92" s="15"/>
      <c r="D92" s="16"/>
      <c r="E92" s="106" t="s">
        <v>33</v>
      </c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</sheetData>
  <sheetProtection/>
  <mergeCells count="13">
    <mergeCell ref="A2:E2"/>
    <mergeCell ref="A5:A7"/>
    <mergeCell ref="B5:B7"/>
    <mergeCell ref="C5:E5"/>
    <mergeCell ref="H5:H7"/>
    <mergeCell ref="A67:E67"/>
    <mergeCell ref="A34:E34"/>
    <mergeCell ref="A54:E54"/>
    <mergeCell ref="A15:E15"/>
    <mergeCell ref="F5:F7"/>
    <mergeCell ref="G5:G7"/>
    <mergeCell ref="A18:E18"/>
    <mergeCell ref="A9:E9"/>
  </mergeCells>
  <dataValidations count="2">
    <dataValidation type="list" allowBlank="1" showInputMessage="1" showErrorMessage="1" sqref="G51:H52 G48:H49 G16:H16 G19:H22 G24:H32 G36:H37 G39:H40 G42:H43 G45:H46 G68:H69 G10:H13 G56:H65">
      <formula1>"da,nu"</formula1>
    </dataValidation>
    <dataValidation type="date" operator="greaterThanOrEqual" allowBlank="1" showInputMessage="1" showErrorMessage="1" sqref="C86">
      <formula1>44197</formula1>
    </dataValidation>
  </dataValidations>
  <printOptions horizontalCentered="1"/>
  <pageMargins left="0.7480314960629921" right="0.34" top="0.47" bottom="0.5" header="0.34" footer="0.2"/>
  <pageSetup fitToHeight="0" fitToWidth="1" horizontalDpi="600" verticalDpi="600" orientation="portrait" paperSize="9" scale="68" r:id="rId1"/>
  <ignoredErrors>
    <ignoredError sqref="A24:A29 A56:A57 A59:A61 A62:A63" twoDigitTextYear="1"/>
    <ignoredError sqref="D23:E23 D38" formula="1"/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2021-09-15T18:53:38Z</dcterms:created>
  <dcterms:modified xsi:type="dcterms:W3CDTF">2021-10-27T06:02:17Z</dcterms:modified>
  <cp:category/>
  <cp:version/>
  <cp:contentType/>
  <cp:contentStatus/>
</cp:coreProperties>
</file>