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B0476F7-FEB6-452D-83BD-D7FD4808ADA4}" xr6:coauthVersionLast="47" xr6:coauthVersionMax="47" xr10:uidLastSave="{00000000-0000-0000-0000-000000000000}"/>
  <bookViews>
    <workbookView xWindow="-120" yWindow="-120" windowWidth="29040" windowHeight="15720" xr2:uid="{2287971A-9190-424B-91FD-3211A54809DE}"/>
  </bookViews>
  <sheets>
    <sheet name="DG  rest" sheetId="2" r:id="rId1"/>
  </sheets>
  <definedNames>
    <definedName name="_xlnm.Print_Area" localSheetId="0">'DG  rest'!$A$1:$E$114</definedName>
  </definedNames>
  <calcPr calcId="191029"/>
</workbook>
</file>

<file path=xl/calcChain.xml><?xml version="1.0" encoding="utf-8"?>
<calcChain xmlns="http://schemas.openxmlformats.org/spreadsheetml/2006/main">
  <c r="C86" i="2" l="1"/>
  <c r="D68" i="2"/>
  <c r="D67" i="2"/>
  <c r="D60" i="2"/>
  <c r="D59" i="2"/>
  <c r="D45" i="2"/>
  <c r="D33" i="2"/>
  <c r="C39" i="2"/>
  <c r="D39" i="2" s="1"/>
  <c r="E39" i="2" s="1"/>
  <c r="D38" i="2"/>
  <c r="D76" i="2"/>
  <c r="E76" i="2" s="1"/>
  <c r="D37" i="2" l="1"/>
  <c r="E38" i="2"/>
  <c r="E68" i="2"/>
  <c r="D86" i="2"/>
  <c r="C73" i="2"/>
  <c r="D72" i="2"/>
  <c r="E72" i="2" s="1"/>
  <c r="E71" i="2"/>
  <c r="D71" i="2"/>
  <c r="D62" i="2"/>
  <c r="E62" i="2" s="1"/>
  <c r="D55" i="2"/>
  <c r="E55" i="2" s="1"/>
  <c r="A55" i="2"/>
  <c r="D54" i="2"/>
  <c r="E54" i="2" s="1"/>
  <c r="A54" i="2"/>
  <c r="C53" i="2"/>
  <c r="D52" i="2"/>
  <c r="E52" i="2" s="1"/>
  <c r="A52" i="2"/>
  <c r="D51" i="2"/>
  <c r="E51" i="2" s="1"/>
  <c r="A51" i="2"/>
  <c r="C50" i="2"/>
  <c r="D49" i="2"/>
  <c r="E49" i="2" s="1"/>
  <c r="A49" i="2"/>
  <c r="D48" i="2"/>
  <c r="E48" i="2" s="1"/>
  <c r="A48" i="2"/>
  <c r="C47" i="2"/>
  <c r="D46" i="2"/>
  <c r="E46" i="2" s="1"/>
  <c r="A46" i="2"/>
  <c r="E45" i="2"/>
  <c r="A45" i="2"/>
  <c r="C44" i="2"/>
  <c r="D43" i="2"/>
  <c r="A43" i="2"/>
  <c r="D42" i="2"/>
  <c r="E42" i="2" s="1"/>
  <c r="A42" i="2"/>
  <c r="C41" i="2"/>
  <c r="D40" i="2"/>
  <c r="E40" i="2" s="1"/>
  <c r="A40" i="2"/>
  <c r="A37" i="2"/>
  <c r="D32" i="2"/>
  <c r="E32" i="2" s="1"/>
  <c r="D31" i="2"/>
  <c r="E31" i="2" s="1"/>
  <c r="D29" i="2"/>
  <c r="E29" i="2" s="1"/>
  <c r="D28" i="2"/>
  <c r="E28" i="2" s="1"/>
  <c r="D27" i="2"/>
  <c r="E27" i="2" s="1"/>
  <c r="D26" i="2"/>
  <c r="E26" i="2" s="1"/>
  <c r="D25" i="2"/>
  <c r="E25" i="2" s="1"/>
  <c r="D23" i="2"/>
  <c r="E23" i="2" s="1"/>
  <c r="D22" i="2"/>
  <c r="E22" i="2" s="1"/>
  <c r="D21" i="2"/>
  <c r="E21" i="2" s="1"/>
  <c r="D20" i="2"/>
  <c r="E20" i="2" s="1"/>
  <c r="C18" i="2"/>
  <c r="D17" i="2"/>
  <c r="C15" i="2"/>
  <c r="D14" i="2"/>
  <c r="E14" i="2" s="1"/>
  <c r="D13" i="2"/>
  <c r="E13" i="2" s="1"/>
  <c r="D12" i="2"/>
  <c r="E12" i="2" s="1"/>
  <c r="D11" i="2"/>
  <c r="E11" i="2" s="1"/>
  <c r="C63" i="2"/>
  <c r="C56" i="2"/>
  <c r="C66" i="2" s="1"/>
  <c r="C36" i="2"/>
  <c r="E33" i="2"/>
  <c r="D30" i="2"/>
  <c r="C64" i="2"/>
  <c r="E64" i="2" s="1"/>
  <c r="D36" i="2" l="1"/>
  <c r="D73" i="2"/>
  <c r="D15" i="2"/>
  <c r="D56" i="2"/>
  <c r="D66" i="2"/>
  <c r="E66" i="2" s="1"/>
  <c r="D53" i="2"/>
  <c r="D18" i="2"/>
  <c r="C34" i="2"/>
  <c r="D41" i="2"/>
  <c r="C65" i="2"/>
  <c r="E65" i="2" s="1"/>
  <c r="E17" i="2"/>
  <c r="E53" i="2"/>
  <c r="E73" i="2"/>
  <c r="E47" i="2"/>
  <c r="D47" i="2"/>
  <c r="E43" i="2"/>
  <c r="E41" i="2" s="1"/>
  <c r="E63" i="2"/>
  <c r="D50" i="2"/>
  <c r="E50" i="2"/>
  <c r="D44" i="2"/>
  <c r="E44" i="2"/>
  <c r="E15" i="2"/>
  <c r="D34" i="2"/>
  <c r="E30" i="2"/>
  <c r="E67" i="2"/>
  <c r="D24" i="2"/>
  <c r="C61" i="2"/>
  <c r="E60" i="2"/>
  <c r="E37" i="2"/>
  <c r="C24" i="2"/>
  <c r="C83" i="2" l="1"/>
  <c r="D61" i="2"/>
  <c r="E61" i="2"/>
  <c r="E75" i="2"/>
  <c r="E77" i="2" s="1"/>
  <c r="C77" i="2"/>
  <c r="C78" i="2" s="1"/>
  <c r="C87" i="2" s="1"/>
  <c r="C88" i="2" s="1"/>
  <c r="D75" i="2"/>
  <c r="D77" i="2" s="1"/>
  <c r="E18" i="2"/>
  <c r="E34" i="2"/>
  <c r="E24" i="2"/>
  <c r="E56" i="2"/>
  <c r="E36" i="2"/>
  <c r="C69" i="2"/>
  <c r="C58" i="2"/>
  <c r="C79" i="2"/>
  <c r="D87" i="2"/>
  <c r="D78" i="2" l="1"/>
  <c r="C89" i="2"/>
  <c r="D69" i="2"/>
  <c r="D58" i="2"/>
  <c r="E59" i="2"/>
  <c r="D79" i="2"/>
  <c r="E79" i="2" s="1"/>
  <c r="D88" i="2"/>
  <c r="D89" i="2"/>
  <c r="E78" i="2" l="1"/>
  <c r="C81" i="2" s="1"/>
  <c r="C82" i="2" s="1"/>
  <c r="E69" i="2"/>
  <c r="E58" i="2"/>
</calcChain>
</file>

<file path=xl/sharedStrings.xml><?xml version="1.0" encoding="utf-8"?>
<sst xmlns="http://schemas.openxmlformats.org/spreadsheetml/2006/main" count="277" uniqueCount="143">
  <si>
    <t>Nr. 
crt.</t>
  </si>
  <si>
    <t>Denumirea capitolelor şi a subcapitolelor
de cheltuieli</t>
  </si>
  <si>
    <t>LEI</t>
  </si>
  <si>
    <t>1.1</t>
  </si>
  <si>
    <t>1.2</t>
  </si>
  <si>
    <t>1.3</t>
  </si>
  <si>
    <t>3.1</t>
  </si>
  <si>
    <t>3.2</t>
  </si>
  <si>
    <t>3.3</t>
  </si>
  <si>
    <t>3.4</t>
  </si>
  <si>
    <t>3.5</t>
  </si>
  <si>
    <t xml:space="preserve">Consultanţă </t>
  </si>
  <si>
    <t>3.6</t>
  </si>
  <si>
    <t>4.1</t>
  </si>
  <si>
    <t>4.2</t>
  </si>
  <si>
    <t>4.3</t>
  </si>
  <si>
    <t>4.4</t>
  </si>
  <si>
    <t>4.5</t>
  </si>
  <si>
    <t>Capitolul 5
Alte cheltuieli</t>
  </si>
  <si>
    <t>5.1</t>
  </si>
  <si>
    <t>5.2</t>
  </si>
  <si>
    <t>5.3</t>
  </si>
  <si>
    <t>6.1</t>
  </si>
  <si>
    <t>6.2</t>
  </si>
  <si>
    <t>4.6</t>
  </si>
  <si>
    <t>Active necorporale</t>
  </si>
  <si>
    <t>Valoare ( inclusiv T.V.A. )</t>
  </si>
  <si>
    <t>buget local</t>
  </si>
  <si>
    <t>buget de stat</t>
  </si>
  <si>
    <t>TOTAL GENERAL</t>
  </si>
  <si>
    <t>5.1.1</t>
  </si>
  <si>
    <t xml:space="preserve">TOTAL CAPITOL 4      </t>
  </si>
  <si>
    <t xml:space="preserve">TOTAL CAPITOL 3     </t>
  </si>
  <si>
    <t xml:space="preserve">TOTAL CAPITOL 5      </t>
  </si>
  <si>
    <t xml:space="preserve">TOTAL CAPITOL 6      </t>
  </si>
  <si>
    <t xml:space="preserve">TOTAL CAPITOL 1     </t>
  </si>
  <si>
    <t xml:space="preserve">TOTAL CAPITOL 2     </t>
  </si>
  <si>
    <t>Capitolul 1
Cheltuieli pentru obţinerea şi amenajarea terenului</t>
  </si>
  <si>
    <t>Amenajări pentru protecţia mediului și aducerea la starea inițială</t>
  </si>
  <si>
    <t>Capitolul 2
Cheltuieli pentru asigurarea utilităţilor necesare obiectivului</t>
  </si>
  <si>
    <t>Capitolul 3
Cheltuieli pentru proiectare şi asistenţă tehnică</t>
  </si>
  <si>
    <t>Organizarea procedurilor de achiziţie</t>
  </si>
  <si>
    <t>Capitolul 4
Cheltuieli pentru investiţia de bază</t>
  </si>
  <si>
    <t>Dotări</t>
  </si>
  <si>
    <t>5.1.2</t>
  </si>
  <si>
    <t>Comisioane, taxe, cote, costul creditului</t>
  </si>
  <si>
    <t>Probe tehnologice și teste</t>
  </si>
  <si>
    <t>Defalcarea pe surse de finanțare</t>
  </si>
  <si>
    <t>1.4</t>
  </si>
  <si>
    <t>Cheltuieli pentru relocarea/protecția utilităților</t>
  </si>
  <si>
    <t>Cheltuieli pentru asigurarea utilităţilor necesare obiectivului</t>
  </si>
  <si>
    <t>Studii</t>
  </si>
  <si>
    <t>Documentații-suport și cheltuieli pentru obținerea de avize, acorduri și autorizații</t>
  </si>
  <si>
    <t xml:space="preserve">Expertizare tehnică </t>
  </si>
  <si>
    <t>Certificarea performanței energetice și auditul energetic al clădirilor</t>
  </si>
  <si>
    <t xml:space="preserve">Proiectare </t>
  </si>
  <si>
    <t>3.5.1</t>
  </si>
  <si>
    <t xml:space="preserve">Temă de proiectare </t>
  </si>
  <si>
    <t>3.5.2</t>
  </si>
  <si>
    <t>Studiu de prefezabilitate</t>
  </si>
  <si>
    <t>3.5.3</t>
  </si>
  <si>
    <t>Studiu de fezabilitate/documentație de avizare a lucrărilor de intervenții și deviz general</t>
  </si>
  <si>
    <t>3.5.4</t>
  </si>
  <si>
    <t>Documentațiile tehnice necesare în vederea obținerii avizelor/acordurilor/autorizațiilor</t>
  </si>
  <si>
    <t>3.5.5</t>
  </si>
  <si>
    <t>3.5.6</t>
  </si>
  <si>
    <t>Proiect tehnic și detalii de execuție</t>
  </si>
  <si>
    <t>3.7</t>
  </si>
  <si>
    <t>3.8</t>
  </si>
  <si>
    <t>Montaj utilaje, echipamente tehnologice și funcționale</t>
  </si>
  <si>
    <t>Utilaje, echipamente tehnologice şi funcţionale care necesită montaj</t>
  </si>
  <si>
    <t>Utilaje, echipamente tehnologice și funcționale care nu necesită montaj și echipamente de transport</t>
  </si>
  <si>
    <t>Lucrări de construcţii și instalații aferente organizării de șantier</t>
  </si>
  <si>
    <t>Cheltuieli conexe organizării șantierului</t>
  </si>
  <si>
    <t>5.2.1</t>
  </si>
  <si>
    <t>Comisioanele și dobânzile aferente creditului băncii finanțatoare</t>
  </si>
  <si>
    <t>5.2.2</t>
  </si>
  <si>
    <t>Cota aferentă ISC pentru controlul calității lucrărilor de construcții</t>
  </si>
  <si>
    <t>5.2.3</t>
  </si>
  <si>
    <t>Cota aferentă ISC pentru controlul statului în amenajarea teritoriului, urbanism și pentru autorizarea lucrărilor de construcții</t>
  </si>
  <si>
    <t>5.2.4</t>
  </si>
  <si>
    <t>Cota aferentă Casei Sociale a Constructorilor - CSC</t>
  </si>
  <si>
    <t>5.2.5</t>
  </si>
  <si>
    <t>Taxe pentru acorduri, avize conforme și autorizația de construire/desființare</t>
  </si>
  <si>
    <t>5.4</t>
  </si>
  <si>
    <t>Capitolul 6
Cheltuieli pentru probe tehnologice și teste</t>
  </si>
  <si>
    <t>Pregătirea personalului de exploatare</t>
  </si>
  <si>
    <t>Din care C + M (1.2+1.3+1.4+2+4.1+4.2+5.1.1)</t>
  </si>
  <si>
    <t>Amenajarea terenului</t>
  </si>
  <si>
    <t>Obţinerea terenului</t>
  </si>
  <si>
    <t>Valoare 
(fără T.V.A. )</t>
  </si>
  <si>
    <t>Valoare cu TVA</t>
  </si>
  <si>
    <t>TOTAL GENERAL (cu TVA) din care:</t>
  </si>
  <si>
    <t>Defalcarea pe standard de cost</t>
  </si>
  <si>
    <t>nu</t>
  </si>
  <si>
    <t>Construcţii şi instalaţii</t>
  </si>
  <si>
    <t>Pentru care exista standard de cost</t>
  </si>
  <si>
    <t>Pentru care nu exista standard de cost</t>
  </si>
  <si>
    <t>Verificarea tehnică de calitate a D.T.A.C., proiectului tehnic și a detaliilor de execuție</t>
  </si>
  <si>
    <t>da</t>
  </si>
  <si>
    <t>Data</t>
  </si>
  <si>
    <t>Curs Euro</t>
  </si>
  <si>
    <t>Cu standard de cost</t>
  </si>
  <si>
    <t>Fara standard de cost</t>
  </si>
  <si>
    <t>Valoare CAP. 4</t>
  </si>
  <si>
    <t>Valoare investitie</t>
  </si>
  <si>
    <t>C+M</t>
  </si>
  <si>
    <t>Cost unitar aferent investiției (EURO)</t>
  </si>
  <si>
    <t>Preturi fără TVA</t>
  </si>
  <si>
    <t xml:space="preserve">Cost unitar aferent investiției </t>
  </si>
  <si>
    <t xml:space="preserve">Beneficiar, </t>
  </si>
  <si>
    <t>DIRECŢIA TEHNICĂ ŞI URBANISM,</t>
  </si>
  <si>
    <t>U.A.T.  Câmpulung Moldovenesc</t>
  </si>
  <si>
    <t>Director executiv adjunct,</t>
  </si>
  <si>
    <t>Istrate Luminiţa</t>
  </si>
  <si>
    <t>PRIMAR,</t>
  </si>
  <si>
    <t>Negură Mihăiță</t>
  </si>
  <si>
    <t>Serviciul investiții, tehnic, administrativ,</t>
  </si>
  <si>
    <t>Șef serviciu</t>
  </si>
  <si>
    <t>Erhan Andrei</t>
  </si>
  <si>
    <t>(Anexa nr. 2.1 la Ordinul 1333/2021)</t>
  </si>
  <si>
    <t>Valoare de referință standard de cost</t>
  </si>
  <si>
    <t>Capitolul 7
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</si>
  <si>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</si>
  <si>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</si>
  <si>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</si>
  <si>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pret</t>
  </si>
  <si>
    <t xml:space="preserve">TOTAL CAPITOL 7      </t>
  </si>
  <si>
    <t>Asistenţă tehnică (TVA 21%)</t>
  </si>
  <si>
    <t>4.1.1</t>
  </si>
  <si>
    <t>Pentru care exista standard de cost (TVA 19%)</t>
  </si>
  <si>
    <t>Pentru care exista standard de cost (TVA 21%)</t>
  </si>
  <si>
    <t>DEVIZ  GENERAL ACTUALIZAT
al obiectivului de investiţie : "Extinderea sistemului de canalizare, municipiul Câmpulung Moldovenesc, județul Suceava"</t>
  </si>
  <si>
    <t>Organizare de şantier (TVA 21%)</t>
  </si>
  <si>
    <t>Cheltuieli diverse şi neprevăzute (TVA 21%)</t>
  </si>
  <si>
    <t>Cheltuieli pentru informare și publicitate (TVA 21%)</t>
  </si>
  <si>
    <t>TVA
19% / 21%</t>
  </si>
  <si>
    <t>Compartiment investiții,</t>
  </si>
  <si>
    <t>Crihan Maria</t>
  </si>
  <si>
    <t>Președinte de comisie,</t>
  </si>
  <si>
    <t>Secretar general,</t>
  </si>
  <si>
    <t>Erhan Rodica</t>
  </si>
  <si>
    <t>Anexa nr. 1 la HCL nr. 102/2026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</si>
</sst>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m/yyyy"/>
    <numFmt numFmtId="165" formatCode="#,##0.0000"/>
    <numFmt numFmtId="166" formatCode="0.0000"/>
    <numFmt numFmtId="167" formatCode="#,##0.000;[Red]#,##0.000"/>
  </numFmts>
  <fonts count="8" x14ac:knownFonts="1">
    <font>
      <sz val="10"/>
      <name val="Arial"/>
      <charset val="238"/>
    </font>
    <font>
      <sz val="10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10"/>
      <name val="Times New Roman"/>
      <family val="1"/>
    </font>
    <font>
      <b/>
      <i/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49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4" fontId="2" fillId="3" borderId="1" xfId="0" applyNumberFormat="1" applyFont="1" applyFill="1" applyBorder="1" applyAlignment="1" applyProtection="1">
      <alignment horizontal="right" vertical="center"/>
      <protection hidden="1"/>
    </xf>
    <xf numFmtId="4" fontId="2" fillId="5" borderId="1" xfId="0" applyNumberFormat="1" applyFont="1" applyFill="1" applyBorder="1" applyAlignment="1" applyProtection="1">
      <alignment horizontal="right" vertical="center"/>
      <protection hidden="1"/>
    </xf>
    <xf numFmtId="4" fontId="2" fillId="5" borderId="3" xfId="0" applyNumberFormat="1" applyFont="1" applyFill="1" applyBorder="1" applyAlignment="1" applyProtection="1">
      <alignment horizontal="right" vertical="center"/>
      <protection hidden="1"/>
    </xf>
    <xf numFmtId="4" fontId="3" fillId="5" borderId="1" xfId="0" applyNumberFormat="1" applyFont="1" applyFill="1" applyBorder="1" applyAlignment="1" applyProtection="1">
      <alignment vertical="center"/>
      <protection hidden="1"/>
    </xf>
    <xf numFmtId="4" fontId="3" fillId="5" borderId="3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165" fontId="6" fillId="0" borderId="0" xfId="0" applyNumberFormat="1" applyFont="1" applyAlignment="1" applyProtection="1">
      <alignment vertical="center" wrapText="1"/>
      <protection hidden="1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4" fontId="2" fillId="3" borderId="10" xfId="0" applyNumberFormat="1" applyFont="1" applyFill="1" applyBorder="1" applyAlignment="1" applyProtection="1">
      <alignment horizontal="right" vertical="center"/>
      <protection hidden="1"/>
    </xf>
    <xf numFmtId="4" fontId="3" fillId="4" borderId="10" xfId="0" applyNumberFormat="1" applyFont="1" applyFill="1" applyBorder="1" applyAlignment="1" applyProtection="1">
      <alignment vertical="center"/>
      <protection hidden="1"/>
    </xf>
    <xf numFmtId="4" fontId="3" fillId="4" borderId="1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4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 applyProtection="1">
      <alignment vertical="center"/>
      <protection hidden="1"/>
    </xf>
    <xf numFmtId="4" fontId="3" fillId="4" borderId="3" xfId="0" applyNumberFormat="1" applyFont="1" applyFill="1" applyBorder="1" applyAlignment="1" applyProtection="1">
      <alignment vertical="center"/>
      <protection hidden="1"/>
    </xf>
    <xf numFmtId="0" fontId="3" fillId="2" borderId="0" xfId="0" applyFont="1" applyFill="1"/>
    <xf numFmtId="0" fontId="5" fillId="0" borderId="1" xfId="0" applyFont="1" applyBorder="1" applyAlignment="1" applyProtection="1">
      <alignment vertical="center" wrapText="1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4" fontId="5" fillId="4" borderId="6" xfId="0" applyNumberFormat="1" applyFont="1" applyFill="1" applyBorder="1" applyAlignment="1" applyProtection="1">
      <alignment horizontal="right" vertical="center"/>
      <protection hidden="1"/>
    </xf>
    <xf numFmtId="4" fontId="5" fillId="4" borderId="7" xfId="0" applyNumberFormat="1" applyFont="1" applyFill="1" applyBorder="1" applyAlignment="1" applyProtection="1">
      <alignment horizontal="right" vertical="center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4" fontId="2" fillId="5" borderId="10" xfId="0" applyNumberFormat="1" applyFont="1" applyFill="1" applyBorder="1" applyAlignment="1" applyProtection="1">
      <alignment horizontal="right" vertical="center"/>
      <protection hidden="1"/>
    </xf>
    <xf numFmtId="4" fontId="2" fillId="5" borderId="11" xfId="0" applyNumberFormat="1" applyFont="1" applyFill="1" applyBorder="1" applyAlignment="1" applyProtection="1">
      <alignment horizontal="right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/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4" fontId="2" fillId="3" borderId="2" xfId="0" applyNumberFormat="1" applyFont="1" applyFill="1" applyBorder="1" applyAlignment="1" applyProtection="1">
      <alignment horizontal="right" vertical="center"/>
      <protection hidden="1"/>
    </xf>
    <xf numFmtId="4" fontId="2" fillId="5" borderId="2" xfId="0" applyNumberFormat="1" applyFont="1" applyFill="1" applyBorder="1" applyAlignment="1" applyProtection="1">
      <alignment horizontal="right" vertical="center"/>
      <protection hidden="1"/>
    </xf>
    <xf numFmtId="4" fontId="2" fillId="5" borderId="12" xfId="0" applyNumberFormat="1" applyFont="1" applyFill="1" applyBorder="1" applyAlignment="1" applyProtection="1">
      <alignment horizontal="right" vertical="center"/>
      <protection hidden="1"/>
    </xf>
    <xf numFmtId="4" fontId="5" fillId="5" borderId="6" xfId="0" applyNumberFormat="1" applyFont="1" applyFill="1" applyBorder="1" applyAlignment="1" applyProtection="1">
      <alignment horizontal="right" vertical="center"/>
      <protection hidden="1"/>
    </xf>
    <xf numFmtId="4" fontId="5" fillId="5" borderId="7" xfId="0" applyNumberFormat="1" applyFont="1" applyFill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5" fillId="6" borderId="13" xfId="0" applyFont="1" applyFill="1" applyBorder="1" applyAlignment="1" applyProtection="1">
      <alignment vertical="center"/>
      <protection hidden="1"/>
    </xf>
    <xf numFmtId="0" fontId="5" fillId="6" borderId="14" xfId="0" applyFont="1" applyFill="1" applyBorder="1" applyAlignment="1" applyProtection="1">
      <alignment horizontal="left" vertical="center"/>
      <protection hidden="1"/>
    </xf>
    <xf numFmtId="4" fontId="5" fillId="4" borderId="14" xfId="0" applyNumberFormat="1" applyFont="1" applyFill="1" applyBorder="1" applyAlignment="1" applyProtection="1">
      <alignment horizontal="right" vertical="center"/>
      <protection hidden="1"/>
    </xf>
    <xf numFmtId="4" fontId="5" fillId="4" borderId="17" xfId="0" applyNumberFormat="1" applyFont="1" applyFill="1" applyBorder="1" applyAlignment="1" applyProtection="1">
      <alignment horizontal="right" vertical="center"/>
      <protection hidden="1"/>
    </xf>
    <xf numFmtId="0" fontId="5" fillId="6" borderId="15" xfId="0" applyFont="1" applyFill="1" applyBorder="1" applyAlignment="1" applyProtection="1">
      <alignment vertical="center"/>
      <protection hidden="1"/>
    </xf>
    <xf numFmtId="0" fontId="5" fillId="6" borderId="16" xfId="0" applyFont="1" applyFill="1" applyBorder="1" applyAlignment="1" applyProtection="1">
      <alignment horizontal="left" vertical="center" wrapText="1"/>
      <protection hidden="1"/>
    </xf>
    <xf numFmtId="3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4" fontId="5" fillId="4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 applyProtection="1">
      <alignment horizontal="right" vertical="center"/>
      <protection hidden="1"/>
    </xf>
    <xf numFmtId="4" fontId="3" fillId="4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Continuous" vertical="center"/>
      <protection hidden="1"/>
    </xf>
    <xf numFmtId="14" fontId="3" fillId="3" borderId="1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 wrapText="1"/>
      <protection hidden="1"/>
    </xf>
    <xf numFmtId="166" fontId="2" fillId="3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right" vertical="center" wrapText="1"/>
      <protection hidden="1"/>
    </xf>
    <xf numFmtId="0" fontId="3" fillId="3" borderId="1" xfId="0" applyFont="1" applyFill="1" applyBorder="1" applyAlignment="1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>
      <alignment vertical="center" wrapText="1"/>
    </xf>
    <xf numFmtId="0" fontId="2" fillId="0" borderId="15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right" vertical="center"/>
      <protection hidden="1"/>
    </xf>
    <xf numFmtId="4" fontId="5" fillId="5" borderId="2" xfId="0" applyNumberFormat="1" applyFont="1" applyFill="1" applyBorder="1" applyAlignment="1" applyProtection="1">
      <alignment horizontal="right" vertical="center"/>
      <protection hidden="1"/>
    </xf>
    <xf numFmtId="4" fontId="5" fillId="5" borderId="12" xfId="0" applyNumberFormat="1" applyFont="1" applyFill="1" applyBorder="1" applyAlignment="1" applyProtection="1">
      <alignment horizontal="right" vertical="center"/>
      <protection hidden="1"/>
    </xf>
    <xf numFmtId="167" fontId="1" fillId="2" borderId="26" xfId="0" applyNumberFormat="1" applyFont="1" applyFill="1" applyBorder="1" applyAlignment="1" applyProtection="1">
      <alignment horizontal="center" vertical="center"/>
      <protection hidden="1"/>
    </xf>
    <xf numFmtId="167" fontId="1" fillId="2" borderId="26" xfId="0" applyNumberFormat="1" applyFont="1" applyFill="1" applyBorder="1" applyAlignment="1" applyProtection="1">
      <alignment horizontal="left" vertical="center" wrapText="1"/>
      <protection hidden="1"/>
    </xf>
    <xf numFmtId="167" fontId="1" fillId="2" borderId="1" xfId="0" applyNumberFormat="1" applyFont="1" applyFill="1" applyBorder="1" applyAlignment="1" applyProtection="1">
      <alignment horizontal="center" vertical="center"/>
      <protection hidden="1"/>
    </xf>
    <xf numFmtId="167" fontId="1" fillId="2" borderId="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7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>
      <alignment horizontal="center" vertical="center"/>
    </xf>
    <xf numFmtId="0" fontId="5" fillId="6" borderId="23" xfId="0" applyFont="1" applyFill="1" applyBorder="1" applyAlignment="1" applyProtection="1">
      <alignment horizontal="center" vertical="center" wrapText="1"/>
      <protection hidden="1"/>
    </xf>
    <xf numFmtId="0" fontId="5" fillId="6" borderId="24" xfId="0" applyFont="1" applyFill="1" applyBorder="1" applyAlignment="1" applyProtection="1">
      <alignment horizontal="center" vertical="center" wrapText="1"/>
      <protection hidden="1"/>
    </xf>
    <xf numFmtId="0" fontId="5" fillId="6" borderId="2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  <protection hidden="1"/>
    </xf>
    <xf numFmtId="0" fontId="5" fillId="6" borderId="19" xfId="0" applyFont="1" applyFill="1" applyBorder="1" applyAlignment="1" applyProtection="1">
      <alignment horizontal="center" vertical="center" wrapText="1"/>
      <protection hidden="1"/>
    </xf>
    <xf numFmtId="0" fontId="5" fillId="6" borderId="20" xfId="0" applyFont="1" applyFill="1" applyBorder="1" applyAlignment="1" applyProtection="1">
      <alignment horizontal="center" vertical="center" wrapText="1"/>
      <protection hidden="1"/>
    </xf>
    <xf numFmtId="0" fontId="5" fillId="6" borderId="21" xfId="0" applyFont="1" applyFill="1" applyBorder="1" applyAlignment="1" applyProtection="1">
      <alignment horizontal="center" vertical="center" wrapText="1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  <xf numFmtId="0" fontId="5" fillId="6" borderId="2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1D2D-BBBA-45E3-BD29-6E3A6300B8A1}">
  <sheetPr>
    <pageSetUpPr fitToPage="1"/>
  </sheetPr>
  <dimension ref="A1:AJ114"/>
  <sheetViews>
    <sheetView tabSelected="1" zoomScale="110" zoomScaleNormal="110" workbookViewId="0">
      <selection activeCell="D1" sqref="D1:E1"/>
    </sheetView>
  </sheetViews>
  <sheetFormatPr defaultRowHeight="12" x14ac:dyDescent="0.2"/>
  <cols>
    <col min="1" max="1" width="6.85546875" style="10" customWidth="1"/>
    <col min="2" max="2" width="43.7109375" style="10" customWidth="1"/>
    <col min="3" max="3" width="15.7109375" style="10" bestFit="1" customWidth="1"/>
    <col min="4" max="4" width="16.85546875" style="10" customWidth="1"/>
    <col min="5" max="5" width="15.7109375" style="10" customWidth="1"/>
    <col min="6" max="6" width="14.7109375" style="11" hidden="1" customWidth="1"/>
    <col min="7" max="7" width="14.28515625" style="12" hidden="1" customWidth="1"/>
    <col min="8" max="8" width="0" style="13" hidden="1" customWidth="1"/>
    <col min="9" max="16384" width="9.140625" style="13"/>
  </cols>
  <sheetData>
    <row r="1" spans="1:36" x14ac:dyDescent="0.2">
      <c r="D1" s="98" t="s">
        <v>142</v>
      </c>
      <c r="E1" s="98"/>
    </row>
    <row r="2" spans="1:36" ht="12.75" customHeight="1" x14ac:dyDescent="0.2">
      <c r="D2" s="98" t="s">
        <v>120</v>
      </c>
      <c r="E2" s="104"/>
    </row>
    <row r="3" spans="1:36" ht="12.75" customHeight="1" x14ac:dyDescent="0.2">
      <c r="D3" s="11"/>
      <c r="E3" s="93"/>
    </row>
    <row r="4" spans="1:36" ht="32.25" customHeight="1" x14ac:dyDescent="0.2">
      <c r="A4" s="112" t="s">
        <v>132</v>
      </c>
      <c r="B4" s="113"/>
      <c r="C4" s="113"/>
      <c r="D4" s="113"/>
      <c r="E4" s="113"/>
      <c r="F4" s="14"/>
    </row>
    <row r="5" spans="1:36" ht="15" customHeight="1" thickBot="1" x14ac:dyDescent="0.25">
      <c r="A5" s="15"/>
      <c r="B5" s="15"/>
      <c r="C5" s="15"/>
      <c r="D5" s="16"/>
      <c r="E5" s="17"/>
      <c r="F5" s="18"/>
    </row>
    <row r="6" spans="1:36" ht="25.5" customHeight="1" x14ac:dyDescent="0.2">
      <c r="A6" s="114" t="s">
        <v>0</v>
      </c>
      <c r="B6" s="116" t="s">
        <v>1</v>
      </c>
      <c r="C6" s="116" t="s">
        <v>26</v>
      </c>
      <c r="D6" s="116"/>
      <c r="E6" s="118"/>
      <c r="F6" s="105" t="s">
        <v>47</v>
      </c>
      <c r="G6" s="102" t="s">
        <v>93</v>
      </c>
      <c r="H6" s="102" t="s">
        <v>106</v>
      </c>
    </row>
    <row r="7" spans="1:36" ht="24" x14ac:dyDescent="0.2">
      <c r="A7" s="115"/>
      <c r="B7" s="117"/>
      <c r="C7" s="20" t="s">
        <v>90</v>
      </c>
      <c r="D7" s="21" t="s">
        <v>136</v>
      </c>
      <c r="E7" s="22" t="s">
        <v>91</v>
      </c>
      <c r="F7" s="105"/>
      <c r="G7" s="102"/>
      <c r="H7" s="102"/>
    </row>
    <row r="8" spans="1:36" x14ac:dyDescent="0.2">
      <c r="A8" s="115"/>
      <c r="B8" s="117"/>
      <c r="C8" s="19" t="s">
        <v>2</v>
      </c>
      <c r="D8" s="23" t="s">
        <v>2</v>
      </c>
      <c r="E8" s="24" t="s">
        <v>2</v>
      </c>
      <c r="F8" s="105"/>
      <c r="G8" s="102"/>
      <c r="H8" s="102"/>
    </row>
    <row r="9" spans="1:36" ht="15" customHeight="1" thickBot="1" x14ac:dyDescent="0.25">
      <c r="A9" s="25">
        <v>1</v>
      </c>
      <c r="B9" s="26">
        <v>2</v>
      </c>
      <c r="C9" s="26">
        <v>3</v>
      </c>
      <c r="D9" s="27">
        <v>4</v>
      </c>
      <c r="E9" s="28">
        <v>5</v>
      </c>
    </row>
    <row r="10" spans="1:36" ht="26.25" customHeight="1" thickBot="1" x14ac:dyDescent="0.25">
      <c r="A10" s="106" t="s">
        <v>37</v>
      </c>
      <c r="B10" s="107"/>
      <c r="C10" s="107"/>
      <c r="D10" s="107"/>
      <c r="E10" s="108"/>
    </row>
    <row r="11" spans="1:36" x14ac:dyDescent="0.2">
      <c r="A11" s="29" t="s">
        <v>3</v>
      </c>
      <c r="B11" s="30" t="s">
        <v>89</v>
      </c>
      <c r="C11" s="31">
        <v>0</v>
      </c>
      <c r="D11" s="32">
        <f>ROUND(0.19*C11,2)</f>
        <v>0</v>
      </c>
      <c r="E11" s="33">
        <f>D11+C11</f>
        <v>0</v>
      </c>
      <c r="F11" s="34" t="s">
        <v>27</v>
      </c>
      <c r="G11" s="12" t="s">
        <v>94</v>
      </c>
      <c r="H11" s="12" t="s">
        <v>94</v>
      </c>
    </row>
    <row r="12" spans="1:36" s="40" customFormat="1" x14ac:dyDescent="0.2">
      <c r="A12" s="35" t="s">
        <v>4</v>
      </c>
      <c r="B12" s="36" t="s">
        <v>88</v>
      </c>
      <c r="C12" s="37">
        <v>0</v>
      </c>
      <c r="D12" s="38">
        <f>ROUND(0.19*C12,2)</f>
        <v>0</v>
      </c>
      <c r="E12" s="39">
        <f>D12+C12</f>
        <v>0</v>
      </c>
      <c r="F12" s="34" t="s">
        <v>28</v>
      </c>
      <c r="G12" s="12" t="s">
        <v>99</v>
      </c>
      <c r="H12" s="12" t="s">
        <v>99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ht="24" x14ac:dyDescent="0.2">
      <c r="A13" s="35" t="s">
        <v>5</v>
      </c>
      <c r="B13" s="41" t="s">
        <v>38</v>
      </c>
      <c r="C13" s="5">
        <v>0</v>
      </c>
      <c r="D13" s="38">
        <f>ROUND(0.19*C13,2)</f>
        <v>0</v>
      </c>
      <c r="E13" s="39">
        <f>D13+C13</f>
        <v>0</v>
      </c>
      <c r="F13" s="34" t="s">
        <v>27</v>
      </c>
      <c r="G13" s="12" t="s">
        <v>99</v>
      </c>
      <c r="H13" s="12" t="s">
        <v>99</v>
      </c>
    </row>
    <row r="14" spans="1:36" s="40" customFormat="1" ht="19.899999999999999" customHeight="1" x14ac:dyDescent="0.2">
      <c r="A14" s="42" t="s">
        <v>48</v>
      </c>
      <c r="B14" s="41" t="s">
        <v>49</v>
      </c>
      <c r="C14" s="37">
        <v>0</v>
      </c>
      <c r="D14" s="38">
        <f>ROUND(0.19*C14,2)</f>
        <v>0</v>
      </c>
      <c r="E14" s="39">
        <f>D14+C14</f>
        <v>0</v>
      </c>
      <c r="F14" s="34" t="s">
        <v>28</v>
      </c>
      <c r="G14" s="12" t="s">
        <v>99</v>
      </c>
      <c r="H14" s="12" t="s">
        <v>99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ht="16.5" customHeight="1" thickBot="1" x14ac:dyDescent="0.25">
      <c r="A15" s="43"/>
      <c r="B15" s="44" t="s">
        <v>35</v>
      </c>
      <c r="C15" s="45">
        <f>SUMIFS(C11:C14,$F$11:$F$14,"&lt;&gt;")</f>
        <v>0</v>
      </c>
      <c r="D15" s="45">
        <f>SUMIFS(D11:D14,$F$11:$F$14,"&lt;&gt;0")</f>
        <v>0</v>
      </c>
      <c r="E15" s="45">
        <f>SUMIFS(E11:E14,$F$11:$F$14,"&lt;&gt;0")</f>
        <v>0</v>
      </c>
      <c r="F15" s="34"/>
    </row>
    <row r="16" spans="1:36" ht="29.25" customHeight="1" x14ac:dyDescent="0.2">
      <c r="A16" s="106" t="s">
        <v>39</v>
      </c>
      <c r="B16" s="107"/>
      <c r="C16" s="107"/>
      <c r="D16" s="107"/>
      <c r="E16" s="108"/>
      <c r="F16" s="34"/>
    </row>
    <row r="17" spans="1:8" ht="24" x14ac:dyDescent="0.2">
      <c r="A17" s="35">
        <v>2</v>
      </c>
      <c r="B17" s="41" t="s">
        <v>50</v>
      </c>
      <c r="C17" s="5">
        <v>0</v>
      </c>
      <c r="D17" s="38">
        <f>ROUND(0.19*C17,2)</f>
        <v>0</v>
      </c>
      <c r="E17" s="39">
        <f>D17+C17</f>
        <v>0</v>
      </c>
      <c r="F17" s="34" t="s">
        <v>28</v>
      </c>
      <c r="G17" s="11" t="s">
        <v>99</v>
      </c>
      <c r="H17" s="11" t="s">
        <v>99</v>
      </c>
    </row>
    <row r="18" spans="1:8" ht="16.5" customHeight="1" thickBot="1" x14ac:dyDescent="0.25">
      <c r="A18" s="43"/>
      <c r="B18" s="44" t="s">
        <v>36</v>
      </c>
      <c r="C18" s="45">
        <f>SUMIFS(C17,$F$17,"&lt;&gt;")</f>
        <v>0</v>
      </c>
      <c r="D18" s="45">
        <f>SUMIFS(D17,$F$17,"&lt;&gt;0")</f>
        <v>0</v>
      </c>
      <c r="E18" s="46">
        <f>SUMIFS(E17,$F$17,"&lt;&gt;0")</f>
        <v>0</v>
      </c>
      <c r="F18" s="34"/>
    </row>
    <row r="19" spans="1:8" ht="25.5" customHeight="1" thickBot="1" x14ac:dyDescent="0.25">
      <c r="A19" s="106" t="s">
        <v>40</v>
      </c>
      <c r="B19" s="107"/>
      <c r="C19" s="107"/>
      <c r="D19" s="107"/>
      <c r="E19" s="108"/>
      <c r="F19" s="34"/>
    </row>
    <row r="20" spans="1:8" x14ac:dyDescent="0.2">
      <c r="A20" s="29" t="s">
        <v>6</v>
      </c>
      <c r="B20" s="47" t="s">
        <v>51</v>
      </c>
      <c r="C20" s="31">
        <v>25000</v>
      </c>
      <c r="D20" s="48">
        <f t="shared" ref="D20:D32" si="0">ROUND(0.19*C20,2)</f>
        <v>4750</v>
      </c>
      <c r="E20" s="49">
        <f t="shared" ref="E20:E33" si="1">D20+C20</f>
        <v>29750</v>
      </c>
      <c r="F20" s="34" t="s">
        <v>27</v>
      </c>
      <c r="G20" s="12" t="s">
        <v>99</v>
      </c>
      <c r="H20" s="12" t="s">
        <v>94</v>
      </c>
    </row>
    <row r="21" spans="1:8" ht="24" x14ac:dyDescent="0.2">
      <c r="A21" s="35" t="s">
        <v>7</v>
      </c>
      <c r="B21" s="41" t="s">
        <v>52</v>
      </c>
      <c r="C21" s="5">
        <v>2000</v>
      </c>
      <c r="D21" s="6">
        <f t="shared" si="0"/>
        <v>380</v>
      </c>
      <c r="E21" s="7">
        <f t="shared" si="1"/>
        <v>2380</v>
      </c>
      <c r="F21" s="34" t="s">
        <v>27</v>
      </c>
      <c r="G21" s="12" t="s">
        <v>99</v>
      </c>
      <c r="H21" s="12" t="s">
        <v>94</v>
      </c>
    </row>
    <row r="22" spans="1:8" x14ac:dyDescent="0.2">
      <c r="A22" s="42" t="s">
        <v>8</v>
      </c>
      <c r="B22" s="41" t="s">
        <v>53</v>
      </c>
      <c r="C22" s="5">
        <v>0</v>
      </c>
      <c r="D22" s="6">
        <f t="shared" si="0"/>
        <v>0</v>
      </c>
      <c r="E22" s="7">
        <f t="shared" si="1"/>
        <v>0</v>
      </c>
      <c r="F22" s="34" t="s">
        <v>27</v>
      </c>
      <c r="G22" s="12" t="s">
        <v>99</v>
      </c>
      <c r="H22" s="12" t="s">
        <v>94</v>
      </c>
    </row>
    <row r="23" spans="1:8" ht="24" x14ac:dyDescent="0.2">
      <c r="A23" s="42" t="s">
        <v>9</v>
      </c>
      <c r="B23" s="41" t="s">
        <v>54</v>
      </c>
      <c r="C23" s="5">
        <v>0</v>
      </c>
      <c r="D23" s="6">
        <f t="shared" si="0"/>
        <v>0</v>
      </c>
      <c r="E23" s="7">
        <f t="shared" si="1"/>
        <v>0</v>
      </c>
      <c r="F23" s="34" t="s">
        <v>27</v>
      </c>
      <c r="G23" s="12" t="s">
        <v>99</v>
      </c>
      <c r="H23" s="12" t="s">
        <v>94</v>
      </c>
    </row>
    <row r="24" spans="1:8" x14ac:dyDescent="0.2">
      <c r="A24" s="42" t="s">
        <v>10</v>
      </c>
      <c r="B24" s="36" t="s">
        <v>55</v>
      </c>
      <c r="C24" s="6">
        <f>SUM(C25:C30)</f>
        <v>373000</v>
      </c>
      <c r="D24" s="6">
        <f>SUM(D25:D30)</f>
        <v>70870</v>
      </c>
      <c r="E24" s="7">
        <f>SUM(E25:E30)</f>
        <v>443870</v>
      </c>
      <c r="F24" s="34"/>
      <c r="H24" s="12"/>
    </row>
    <row r="25" spans="1:8" x14ac:dyDescent="0.2">
      <c r="A25" s="2" t="s">
        <v>56</v>
      </c>
      <c r="B25" s="3" t="s">
        <v>57</v>
      </c>
      <c r="C25" s="5">
        <v>0</v>
      </c>
      <c r="D25" s="6">
        <f t="shared" si="0"/>
        <v>0</v>
      </c>
      <c r="E25" s="7">
        <f t="shared" si="1"/>
        <v>0</v>
      </c>
      <c r="F25" s="34" t="s">
        <v>27</v>
      </c>
      <c r="G25" s="12" t="s">
        <v>99</v>
      </c>
      <c r="H25" s="12" t="s">
        <v>94</v>
      </c>
    </row>
    <row r="26" spans="1:8" x14ac:dyDescent="0.2">
      <c r="A26" s="2" t="s">
        <v>58</v>
      </c>
      <c r="B26" s="3" t="s">
        <v>59</v>
      </c>
      <c r="C26" s="5">
        <v>0</v>
      </c>
      <c r="D26" s="6">
        <f t="shared" si="0"/>
        <v>0</v>
      </c>
      <c r="E26" s="7">
        <f t="shared" si="1"/>
        <v>0</v>
      </c>
      <c r="F26" s="34" t="s">
        <v>27</v>
      </c>
      <c r="G26" s="12" t="s">
        <v>99</v>
      </c>
      <c r="H26" s="12" t="s">
        <v>94</v>
      </c>
    </row>
    <row r="27" spans="1:8" ht="24" x14ac:dyDescent="0.2">
      <c r="A27" s="2" t="s">
        <v>60</v>
      </c>
      <c r="B27" s="4" t="s">
        <v>61</v>
      </c>
      <c r="C27" s="5">
        <v>93000</v>
      </c>
      <c r="D27" s="6">
        <f t="shared" si="0"/>
        <v>17670</v>
      </c>
      <c r="E27" s="7">
        <f t="shared" si="1"/>
        <v>110670</v>
      </c>
      <c r="F27" s="34" t="s">
        <v>27</v>
      </c>
      <c r="G27" s="12" t="s">
        <v>99</v>
      </c>
      <c r="H27" s="12" t="s">
        <v>94</v>
      </c>
    </row>
    <row r="28" spans="1:8" ht="24" x14ac:dyDescent="0.2">
      <c r="A28" s="2" t="s">
        <v>62</v>
      </c>
      <c r="B28" s="4" t="s">
        <v>63</v>
      </c>
      <c r="C28" s="5">
        <v>30000</v>
      </c>
      <c r="D28" s="8">
        <f t="shared" si="0"/>
        <v>5700</v>
      </c>
      <c r="E28" s="9">
        <f t="shared" si="1"/>
        <v>35700</v>
      </c>
      <c r="F28" s="34" t="s">
        <v>28</v>
      </c>
      <c r="G28" s="12" t="s">
        <v>99</v>
      </c>
      <c r="H28" s="12" t="s">
        <v>94</v>
      </c>
    </row>
    <row r="29" spans="1:8" ht="24" x14ac:dyDescent="0.2">
      <c r="A29" s="2" t="s">
        <v>64</v>
      </c>
      <c r="B29" s="4" t="s">
        <v>98</v>
      </c>
      <c r="C29" s="5">
        <v>30000</v>
      </c>
      <c r="D29" s="8">
        <f t="shared" si="0"/>
        <v>5700</v>
      </c>
      <c r="E29" s="9">
        <f t="shared" si="1"/>
        <v>35700</v>
      </c>
      <c r="F29" s="34" t="s">
        <v>28</v>
      </c>
      <c r="G29" s="12" t="s">
        <v>99</v>
      </c>
      <c r="H29" s="12" t="s">
        <v>94</v>
      </c>
    </row>
    <row r="30" spans="1:8" x14ac:dyDescent="0.2">
      <c r="A30" s="2" t="s">
        <v>65</v>
      </c>
      <c r="B30" s="4" t="s">
        <v>66</v>
      </c>
      <c r="C30" s="5">
        <v>220000</v>
      </c>
      <c r="D30" s="8">
        <f t="shared" si="0"/>
        <v>41800</v>
      </c>
      <c r="E30" s="9">
        <f t="shared" si="1"/>
        <v>261800</v>
      </c>
      <c r="F30" s="34" t="s">
        <v>28</v>
      </c>
      <c r="G30" s="12" t="s">
        <v>99</v>
      </c>
      <c r="H30" s="12" t="s">
        <v>94</v>
      </c>
    </row>
    <row r="31" spans="1:8" s="51" customFormat="1" x14ac:dyDescent="0.2">
      <c r="A31" s="42" t="s">
        <v>12</v>
      </c>
      <c r="B31" s="41" t="s">
        <v>41</v>
      </c>
      <c r="C31" s="5">
        <v>0</v>
      </c>
      <c r="D31" s="6">
        <f t="shared" si="0"/>
        <v>0</v>
      </c>
      <c r="E31" s="7">
        <f t="shared" si="1"/>
        <v>0</v>
      </c>
      <c r="F31" s="50" t="s">
        <v>27</v>
      </c>
      <c r="G31" s="12" t="s">
        <v>99</v>
      </c>
      <c r="H31" s="12" t="s">
        <v>94</v>
      </c>
    </row>
    <row r="32" spans="1:8" s="51" customFormat="1" x14ac:dyDescent="0.2">
      <c r="A32" s="42" t="s">
        <v>67</v>
      </c>
      <c r="B32" s="41" t="s">
        <v>11</v>
      </c>
      <c r="C32" s="5">
        <v>0</v>
      </c>
      <c r="D32" s="6">
        <f t="shared" si="0"/>
        <v>0</v>
      </c>
      <c r="E32" s="7">
        <f t="shared" si="1"/>
        <v>0</v>
      </c>
      <c r="F32" s="50" t="s">
        <v>27</v>
      </c>
      <c r="G32" s="12" t="s">
        <v>99</v>
      </c>
      <c r="H32" s="12" t="s">
        <v>94</v>
      </c>
    </row>
    <row r="33" spans="1:8" x14ac:dyDescent="0.2">
      <c r="A33" s="52" t="s">
        <v>68</v>
      </c>
      <c r="B33" s="53" t="s">
        <v>128</v>
      </c>
      <c r="C33" s="54">
        <v>80000</v>
      </c>
      <c r="D33" s="55">
        <f>ROUND(0.21*C33,2)</f>
        <v>16800</v>
      </c>
      <c r="E33" s="56">
        <f t="shared" si="1"/>
        <v>96800</v>
      </c>
      <c r="F33" s="50" t="s">
        <v>27</v>
      </c>
      <c r="G33" s="12" t="s">
        <v>99</v>
      </c>
      <c r="H33" s="12" t="s">
        <v>94</v>
      </c>
    </row>
    <row r="34" spans="1:8" ht="16.5" customHeight="1" thickBot="1" x14ac:dyDescent="0.25">
      <c r="A34" s="43"/>
      <c r="B34" s="44" t="s">
        <v>32</v>
      </c>
      <c r="C34" s="57">
        <f>SUMIFS(C20:C33,$F$20:$F$33,"&lt;&gt;")</f>
        <v>480000</v>
      </c>
      <c r="D34" s="57">
        <f>SUMIFS(D20:D33,$F$20:$F$33,"&lt;&gt;")</f>
        <v>92800</v>
      </c>
      <c r="E34" s="58">
        <f>SUMIFS(E20:E33,$F$20:$F$33,"&lt;&gt;")</f>
        <v>572800</v>
      </c>
      <c r="F34" s="34"/>
    </row>
    <row r="35" spans="1:8" ht="24" customHeight="1" x14ac:dyDescent="0.2">
      <c r="A35" s="109" t="s">
        <v>42</v>
      </c>
      <c r="B35" s="110"/>
      <c r="C35" s="110"/>
      <c r="D35" s="110"/>
      <c r="E35" s="111"/>
      <c r="F35" s="34"/>
    </row>
    <row r="36" spans="1:8" x14ac:dyDescent="0.2">
      <c r="A36" s="35" t="s">
        <v>13</v>
      </c>
      <c r="B36" s="41" t="s">
        <v>95</v>
      </c>
      <c r="C36" s="6">
        <f>C37+C40</f>
        <v>11070000.300000001</v>
      </c>
      <c r="D36" s="6">
        <f>D37+D40</f>
        <v>2315129.6830000002</v>
      </c>
      <c r="E36" s="7">
        <f>E37+E40</f>
        <v>13385129.983000001</v>
      </c>
      <c r="F36" s="34"/>
    </row>
    <row r="37" spans="1:8" hidden="1" x14ac:dyDescent="0.2">
      <c r="A37" s="59" t="str">
        <f>A36&amp;".1"</f>
        <v>4.1.1</v>
      </c>
      <c r="B37" s="4" t="s">
        <v>96</v>
      </c>
      <c r="C37" s="5">
        <v>11070000.300000001</v>
      </c>
      <c r="D37" s="6">
        <f>D38+D39</f>
        <v>2315129.6830000002</v>
      </c>
      <c r="E37" s="7">
        <f>D37+C37</f>
        <v>13385129.983000001</v>
      </c>
      <c r="F37" s="34" t="s">
        <v>28</v>
      </c>
      <c r="G37" s="12" t="s">
        <v>99</v>
      </c>
      <c r="H37" s="12" t="s">
        <v>99</v>
      </c>
    </row>
    <row r="38" spans="1:8" x14ac:dyDescent="0.2">
      <c r="A38" s="59" t="s">
        <v>129</v>
      </c>
      <c r="B38" s="4" t="s">
        <v>130</v>
      </c>
      <c r="C38" s="5">
        <v>478519</v>
      </c>
      <c r="D38" s="6">
        <f>C38*19/100</f>
        <v>90918.61</v>
      </c>
      <c r="E38" s="7">
        <f>C38+D38</f>
        <v>569437.61</v>
      </c>
      <c r="F38" s="34"/>
      <c r="H38" s="12"/>
    </row>
    <row r="39" spans="1:8" x14ac:dyDescent="0.2">
      <c r="A39" s="59" t="s">
        <v>129</v>
      </c>
      <c r="B39" s="4" t="s">
        <v>131</v>
      </c>
      <c r="C39" s="5">
        <f>C37-C38</f>
        <v>10591481.300000001</v>
      </c>
      <c r="D39" s="6">
        <f>C39*21/100</f>
        <v>2224211.0730000003</v>
      </c>
      <c r="E39" s="7">
        <f>C39+D39</f>
        <v>12815692.373000002</v>
      </c>
      <c r="F39" s="34"/>
      <c r="H39" s="12"/>
    </row>
    <row r="40" spans="1:8" x14ac:dyDescent="0.2">
      <c r="A40" s="59" t="str">
        <f>A36&amp;".2"</f>
        <v>4.1.2</v>
      </c>
      <c r="B40" s="3" t="s">
        <v>97</v>
      </c>
      <c r="C40" s="5">
        <v>0</v>
      </c>
      <c r="D40" s="6">
        <f>ROUND(0.19*C40,2)</f>
        <v>0</v>
      </c>
      <c r="E40" s="7">
        <f>D40+C40</f>
        <v>0</v>
      </c>
      <c r="F40" s="34" t="s">
        <v>28</v>
      </c>
      <c r="G40" s="12" t="s">
        <v>94</v>
      </c>
      <c r="H40" s="12" t="s">
        <v>99</v>
      </c>
    </row>
    <row r="41" spans="1:8" x14ac:dyDescent="0.2">
      <c r="A41" s="35" t="s">
        <v>14</v>
      </c>
      <c r="B41" s="41" t="s">
        <v>69</v>
      </c>
      <c r="C41" s="6">
        <f>C42+C43</f>
        <v>0</v>
      </c>
      <c r="D41" s="6">
        <f>D42+D43</f>
        <v>0</v>
      </c>
      <c r="E41" s="7">
        <f>E42+E43</f>
        <v>0</v>
      </c>
      <c r="F41" s="34"/>
      <c r="H41" s="12"/>
    </row>
    <row r="42" spans="1:8" x14ac:dyDescent="0.2">
      <c r="A42" s="59" t="str">
        <f>A41&amp;".1"</f>
        <v>4.2.1</v>
      </c>
      <c r="B42" s="4" t="s">
        <v>96</v>
      </c>
      <c r="C42" s="5">
        <v>0</v>
      </c>
      <c r="D42" s="6">
        <f>ROUND(0.19*C42,2)</f>
        <v>0</v>
      </c>
      <c r="E42" s="7">
        <f>D42+C42</f>
        <v>0</v>
      </c>
      <c r="F42" s="34" t="s">
        <v>28</v>
      </c>
      <c r="G42" s="12" t="s">
        <v>99</v>
      </c>
      <c r="H42" s="12" t="s">
        <v>99</v>
      </c>
    </row>
    <row r="43" spans="1:8" x14ac:dyDescent="0.2">
      <c r="A43" s="59" t="str">
        <f>A41&amp;".2"</f>
        <v>4.2.2</v>
      </c>
      <c r="B43" s="3" t="s">
        <v>97</v>
      </c>
      <c r="C43" s="5">
        <v>0</v>
      </c>
      <c r="D43" s="6">
        <f>ROUND(0.19*C43,2)</f>
        <v>0</v>
      </c>
      <c r="E43" s="7">
        <f>D43+C43</f>
        <v>0</v>
      </c>
      <c r="F43" s="34" t="s">
        <v>28</v>
      </c>
      <c r="G43" s="12" t="s">
        <v>94</v>
      </c>
      <c r="H43" s="12" t="s">
        <v>99</v>
      </c>
    </row>
    <row r="44" spans="1:8" ht="24" x14ac:dyDescent="0.2">
      <c r="A44" s="35" t="s">
        <v>15</v>
      </c>
      <c r="B44" s="41" t="s">
        <v>70</v>
      </c>
      <c r="C44" s="6">
        <f>C45+C46</f>
        <v>1083125</v>
      </c>
      <c r="D44" s="6">
        <f>D45+D46</f>
        <v>227456.25</v>
      </c>
      <c r="E44" s="7">
        <f>E45+E46</f>
        <v>1310581.25</v>
      </c>
      <c r="F44" s="34"/>
      <c r="H44" s="12"/>
    </row>
    <row r="45" spans="1:8" x14ac:dyDescent="0.2">
      <c r="A45" s="59" t="str">
        <f>A44&amp;".1"</f>
        <v>4.3.1</v>
      </c>
      <c r="B45" s="4" t="s">
        <v>131</v>
      </c>
      <c r="C45" s="5">
        <v>1083125</v>
      </c>
      <c r="D45" s="6">
        <f>ROUND(0.21*C45,2)</f>
        <v>227456.25</v>
      </c>
      <c r="E45" s="7">
        <f>D45+C45</f>
        <v>1310581.25</v>
      </c>
      <c r="F45" s="34" t="s">
        <v>28</v>
      </c>
      <c r="G45" s="12" t="s">
        <v>99</v>
      </c>
      <c r="H45" s="12" t="s">
        <v>94</v>
      </c>
    </row>
    <row r="46" spans="1:8" x14ac:dyDescent="0.2">
      <c r="A46" s="59" t="str">
        <f>A44&amp;".2"</f>
        <v>4.3.2</v>
      </c>
      <c r="B46" s="3" t="s">
        <v>97</v>
      </c>
      <c r="C46" s="5">
        <v>0</v>
      </c>
      <c r="D46" s="6">
        <f>ROUND(0.19*C46,2)</f>
        <v>0</v>
      </c>
      <c r="E46" s="7">
        <f>D46+C46</f>
        <v>0</v>
      </c>
      <c r="F46" s="34" t="s">
        <v>28</v>
      </c>
      <c r="G46" s="12" t="s">
        <v>94</v>
      </c>
      <c r="H46" s="12" t="s">
        <v>94</v>
      </c>
    </row>
    <row r="47" spans="1:8" ht="24" x14ac:dyDescent="0.2">
      <c r="A47" s="35" t="s">
        <v>16</v>
      </c>
      <c r="B47" s="41" t="s">
        <v>71</v>
      </c>
      <c r="C47" s="6">
        <f>C48+C49</f>
        <v>0</v>
      </c>
      <c r="D47" s="6">
        <f>D48+D49</f>
        <v>0</v>
      </c>
      <c r="E47" s="7">
        <f>E48+E49</f>
        <v>0</v>
      </c>
      <c r="H47" s="12"/>
    </row>
    <row r="48" spans="1:8" x14ac:dyDescent="0.2">
      <c r="A48" s="59" t="str">
        <f>A47&amp;".1"</f>
        <v>4.4.1</v>
      </c>
      <c r="B48" s="4" t="s">
        <v>96</v>
      </c>
      <c r="C48" s="5">
        <v>0</v>
      </c>
      <c r="D48" s="6">
        <f>ROUND(0.19*C48,2)</f>
        <v>0</v>
      </c>
      <c r="E48" s="7">
        <f>D48+C48</f>
        <v>0</v>
      </c>
      <c r="F48" s="34" t="s">
        <v>28</v>
      </c>
      <c r="G48" s="12" t="s">
        <v>99</v>
      </c>
      <c r="H48" s="12" t="s">
        <v>94</v>
      </c>
    </row>
    <row r="49" spans="1:8" x14ac:dyDescent="0.2">
      <c r="A49" s="59" t="str">
        <f>A47&amp;".2"</f>
        <v>4.4.2</v>
      </c>
      <c r="B49" s="3" t="s">
        <v>97</v>
      </c>
      <c r="C49" s="5">
        <v>0</v>
      </c>
      <c r="D49" s="6">
        <f>ROUND(0.19*C49,2)</f>
        <v>0</v>
      </c>
      <c r="E49" s="7">
        <f>D49+C49</f>
        <v>0</v>
      </c>
      <c r="F49" s="34" t="s">
        <v>28</v>
      </c>
      <c r="G49" s="12" t="s">
        <v>94</v>
      </c>
      <c r="H49" s="12" t="s">
        <v>94</v>
      </c>
    </row>
    <row r="50" spans="1:8" x14ac:dyDescent="0.2">
      <c r="A50" s="35" t="s">
        <v>17</v>
      </c>
      <c r="B50" s="41" t="s">
        <v>43</v>
      </c>
      <c r="C50" s="6">
        <f>C51+C52</f>
        <v>0</v>
      </c>
      <c r="D50" s="6">
        <f>D51+D52</f>
        <v>0</v>
      </c>
      <c r="E50" s="7">
        <f>E51+E52</f>
        <v>0</v>
      </c>
      <c r="F50" s="34"/>
      <c r="H50" s="12"/>
    </row>
    <row r="51" spans="1:8" x14ac:dyDescent="0.2">
      <c r="A51" s="59" t="str">
        <f>A50&amp;".1"</f>
        <v>4.5.1</v>
      </c>
      <c r="B51" s="4" t="s">
        <v>96</v>
      </c>
      <c r="C51" s="5">
        <v>0</v>
      </c>
      <c r="D51" s="6">
        <f>ROUND(0.19*C51,2)</f>
        <v>0</v>
      </c>
      <c r="E51" s="7">
        <f>D51+C51</f>
        <v>0</v>
      </c>
      <c r="F51" s="34" t="s">
        <v>28</v>
      </c>
      <c r="G51" s="12" t="s">
        <v>99</v>
      </c>
      <c r="H51" s="12" t="s">
        <v>94</v>
      </c>
    </row>
    <row r="52" spans="1:8" x14ac:dyDescent="0.2">
      <c r="A52" s="59" t="str">
        <f>A50&amp;".2"</f>
        <v>4.5.2</v>
      </c>
      <c r="B52" s="3" t="s">
        <v>97</v>
      </c>
      <c r="C52" s="5">
        <v>0</v>
      </c>
      <c r="D52" s="6">
        <f>ROUND(0.19*C52,2)</f>
        <v>0</v>
      </c>
      <c r="E52" s="7">
        <f>D52+C52</f>
        <v>0</v>
      </c>
      <c r="F52" s="34" t="s">
        <v>28</v>
      </c>
      <c r="G52" s="12" t="s">
        <v>94</v>
      </c>
      <c r="H52" s="12" t="s">
        <v>94</v>
      </c>
    </row>
    <row r="53" spans="1:8" x14ac:dyDescent="0.2">
      <c r="A53" s="35" t="s">
        <v>24</v>
      </c>
      <c r="B53" s="41" t="s">
        <v>25</v>
      </c>
      <c r="C53" s="6">
        <f>C54+C55</f>
        <v>0</v>
      </c>
      <c r="D53" s="6">
        <f>D54+D55</f>
        <v>0</v>
      </c>
      <c r="E53" s="7">
        <f>E54+E55</f>
        <v>0</v>
      </c>
      <c r="F53" s="34"/>
      <c r="H53" s="12"/>
    </row>
    <row r="54" spans="1:8" x14ac:dyDescent="0.2">
      <c r="A54" s="59" t="str">
        <f>A53&amp;".1"</f>
        <v>4.6.1</v>
      </c>
      <c r="B54" s="4" t="s">
        <v>96</v>
      </c>
      <c r="C54" s="5">
        <v>0</v>
      </c>
      <c r="D54" s="6">
        <f>ROUND(0.19*C54,2)</f>
        <v>0</v>
      </c>
      <c r="E54" s="7">
        <f>D54+C54</f>
        <v>0</v>
      </c>
      <c r="F54" s="34" t="s">
        <v>28</v>
      </c>
      <c r="G54" s="12" t="s">
        <v>99</v>
      </c>
      <c r="H54" s="12" t="s">
        <v>94</v>
      </c>
    </row>
    <row r="55" spans="1:8" x14ac:dyDescent="0.2">
      <c r="A55" s="59" t="str">
        <f>A53&amp;".2"</f>
        <v>4.6.2</v>
      </c>
      <c r="B55" s="3" t="s">
        <v>97</v>
      </c>
      <c r="C55" s="5">
        <v>0</v>
      </c>
      <c r="D55" s="6">
        <f>ROUND(0.19*C55,2)</f>
        <v>0</v>
      </c>
      <c r="E55" s="7">
        <f>D55+C55</f>
        <v>0</v>
      </c>
      <c r="F55" s="34" t="s">
        <v>28</v>
      </c>
      <c r="G55" s="12" t="s">
        <v>94</v>
      </c>
      <c r="H55" s="12" t="s">
        <v>94</v>
      </c>
    </row>
    <row r="56" spans="1:8" ht="12.75" thickBot="1" x14ac:dyDescent="0.25">
      <c r="A56" s="43"/>
      <c r="B56" s="44" t="s">
        <v>31</v>
      </c>
      <c r="C56" s="57">
        <f>SUMIFS(C36:C55,$F$36:$F$55,"&lt;&gt;")</f>
        <v>12153125.300000001</v>
      </c>
      <c r="D56" s="57">
        <f>SUMIFS(D36:D55,$F$36:$F$55,"&lt;&gt;")</f>
        <v>2542585.9330000002</v>
      </c>
      <c r="E56" s="58">
        <f>SUMIFS(E36:E55,$F$36:$F$55,"&lt;&gt;")</f>
        <v>14695711.233000001</v>
      </c>
      <c r="F56" s="34"/>
      <c r="H56" s="12"/>
    </row>
    <row r="57" spans="1:8" ht="22.5" customHeight="1" x14ac:dyDescent="0.2">
      <c r="A57" s="106" t="s">
        <v>18</v>
      </c>
      <c r="B57" s="107"/>
      <c r="C57" s="107"/>
      <c r="D57" s="107"/>
      <c r="E57" s="108"/>
      <c r="F57" s="34"/>
      <c r="H57" s="12"/>
    </row>
    <row r="58" spans="1:8" ht="15" customHeight="1" x14ac:dyDescent="0.2">
      <c r="A58" s="35" t="s">
        <v>19</v>
      </c>
      <c r="B58" s="36" t="s">
        <v>133</v>
      </c>
      <c r="C58" s="6">
        <f>C59+C60</f>
        <v>55650</v>
      </c>
      <c r="D58" s="6">
        <f>D59+D60</f>
        <v>11686.5</v>
      </c>
      <c r="E58" s="7">
        <f>E59+E60</f>
        <v>67336.5</v>
      </c>
      <c r="F58" s="34"/>
      <c r="H58" s="12"/>
    </row>
    <row r="59" spans="1:8" ht="24" x14ac:dyDescent="0.2">
      <c r="A59" s="2" t="s">
        <v>30</v>
      </c>
      <c r="B59" s="4" t="s">
        <v>72</v>
      </c>
      <c r="C59" s="5">
        <v>27825</v>
      </c>
      <c r="D59" s="6">
        <f>ROUND(0.21*C59,2)</f>
        <v>5843.25</v>
      </c>
      <c r="E59" s="7">
        <f>D59+C59</f>
        <v>33668.25</v>
      </c>
      <c r="F59" s="34" t="s">
        <v>28</v>
      </c>
      <c r="G59" s="12" t="s">
        <v>99</v>
      </c>
      <c r="H59" s="12" t="s">
        <v>99</v>
      </c>
    </row>
    <row r="60" spans="1:8" ht="15.75" customHeight="1" x14ac:dyDescent="0.2">
      <c r="A60" s="2" t="s">
        <v>44</v>
      </c>
      <c r="B60" s="3" t="s">
        <v>73</v>
      </c>
      <c r="C60" s="5">
        <v>27825</v>
      </c>
      <c r="D60" s="6">
        <f>ROUND(0.21*C60,2)</f>
        <v>5843.25</v>
      </c>
      <c r="E60" s="7">
        <f>D60+C60</f>
        <v>33668.25</v>
      </c>
      <c r="F60" s="34" t="s">
        <v>27</v>
      </c>
      <c r="G60" s="12" t="s">
        <v>99</v>
      </c>
      <c r="H60" s="12" t="s">
        <v>94</v>
      </c>
    </row>
    <row r="61" spans="1:8" ht="26.25" customHeight="1" x14ac:dyDescent="0.2">
      <c r="A61" s="35" t="s">
        <v>20</v>
      </c>
      <c r="B61" s="41" t="s">
        <v>45</v>
      </c>
      <c r="C61" s="6">
        <f>SUM(C62:C66)</f>
        <v>133923.12860000003</v>
      </c>
      <c r="D61" s="6">
        <f>SUM(D62:D66)</f>
        <v>2309.09</v>
      </c>
      <c r="E61" s="7">
        <f>SUM(E62:E66)</f>
        <v>136232.21860000002</v>
      </c>
      <c r="F61" s="34"/>
      <c r="H61" s="12"/>
    </row>
    <row r="62" spans="1:8" ht="24" x14ac:dyDescent="0.2">
      <c r="A62" s="2" t="s">
        <v>74</v>
      </c>
      <c r="B62" s="4" t="s">
        <v>75</v>
      </c>
      <c r="C62" s="5">
        <v>0</v>
      </c>
      <c r="D62" s="6">
        <f t="shared" ref="D62:D66" si="2">ROUND(0.19*C62,2)</f>
        <v>0</v>
      </c>
      <c r="E62" s="7">
        <f t="shared" ref="E62:E68" si="3">D62+C62</f>
        <v>0</v>
      </c>
      <c r="F62" s="34" t="s">
        <v>27</v>
      </c>
      <c r="G62" s="12" t="s">
        <v>99</v>
      </c>
      <c r="H62" s="12" t="s">
        <v>94</v>
      </c>
    </row>
    <row r="63" spans="1:8" ht="24" x14ac:dyDescent="0.2">
      <c r="A63" s="2" t="s">
        <v>76</v>
      </c>
      <c r="B63" s="4" t="s">
        <v>77</v>
      </c>
      <c r="C63" s="5">
        <f>C37*0.5/100</f>
        <v>55350.001500000006</v>
      </c>
      <c r="D63" s="6">
        <v>0</v>
      </c>
      <c r="E63" s="7">
        <f t="shared" si="3"/>
        <v>55350.001500000006</v>
      </c>
      <c r="F63" s="34" t="s">
        <v>28</v>
      </c>
      <c r="G63" s="12" t="s">
        <v>99</v>
      </c>
      <c r="H63" s="12" t="s">
        <v>94</v>
      </c>
    </row>
    <row r="64" spans="1:8" ht="36" x14ac:dyDescent="0.2">
      <c r="A64" s="2" t="s">
        <v>78</v>
      </c>
      <c r="B64" s="4" t="s">
        <v>79</v>
      </c>
      <c r="C64" s="5">
        <f>C37*0.1/100</f>
        <v>11070.0003</v>
      </c>
      <c r="D64" s="6">
        <v>0</v>
      </c>
      <c r="E64" s="7">
        <f t="shared" si="3"/>
        <v>11070.0003</v>
      </c>
      <c r="F64" s="34" t="s">
        <v>28</v>
      </c>
      <c r="G64" s="12" t="s">
        <v>99</v>
      </c>
      <c r="H64" s="12" t="s">
        <v>94</v>
      </c>
    </row>
    <row r="65" spans="1:8" x14ac:dyDescent="0.2">
      <c r="A65" s="2" t="s">
        <v>80</v>
      </c>
      <c r="B65" s="4" t="s">
        <v>81</v>
      </c>
      <c r="C65" s="5">
        <f>C63</f>
        <v>55350.001500000006</v>
      </c>
      <c r="D65" s="6">
        <v>0</v>
      </c>
      <c r="E65" s="7">
        <f t="shared" si="3"/>
        <v>55350.001500000006</v>
      </c>
      <c r="F65" s="34" t="s">
        <v>28</v>
      </c>
      <c r="G65" s="12" t="s">
        <v>99</v>
      </c>
      <c r="H65" s="12" t="s">
        <v>94</v>
      </c>
    </row>
    <row r="66" spans="1:8" ht="24" x14ac:dyDescent="0.2">
      <c r="A66" s="2" t="s">
        <v>82</v>
      </c>
      <c r="B66" s="4" t="s">
        <v>83</v>
      </c>
      <c r="C66" s="5">
        <f>C56*0.001</f>
        <v>12153.125300000002</v>
      </c>
      <c r="D66" s="6">
        <f t="shared" si="2"/>
        <v>2309.09</v>
      </c>
      <c r="E66" s="7">
        <f t="shared" si="3"/>
        <v>14462.215300000002</v>
      </c>
      <c r="F66" s="34" t="s">
        <v>27</v>
      </c>
      <c r="G66" s="12" t="s">
        <v>99</v>
      </c>
      <c r="H66" s="12" t="s">
        <v>94</v>
      </c>
    </row>
    <row r="67" spans="1:8" x14ac:dyDescent="0.2">
      <c r="A67" s="35" t="s">
        <v>21</v>
      </c>
      <c r="B67" s="41" t="s">
        <v>134</v>
      </c>
      <c r="C67" s="5">
        <v>1029378.33</v>
      </c>
      <c r="D67" s="6">
        <f>ROUND(0.21*C67,2)</f>
        <v>216169.45</v>
      </c>
      <c r="E67" s="7">
        <f t="shared" si="3"/>
        <v>1245547.78</v>
      </c>
      <c r="F67" s="34" t="s">
        <v>28</v>
      </c>
      <c r="G67" s="12" t="s">
        <v>99</v>
      </c>
      <c r="H67" s="12" t="s">
        <v>94</v>
      </c>
    </row>
    <row r="68" spans="1:8" x14ac:dyDescent="0.2">
      <c r="A68" s="42" t="s">
        <v>84</v>
      </c>
      <c r="B68" s="41" t="s">
        <v>135</v>
      </c>
      <c r="C68" s="5">
        <v>3000</v>
      </c>
      <c r="D68" s="6">
        <f>ROUND(0.21*C68,2)</f>
        <v>630</v>
      </c>
      <c r="E68" s="7">
        <f t="shared" si="3"/>
        <v>3630</v>
      </c>
      <c r="F68" s="34" t="s">
        <v>27</v>
      </c>
      <c r="G68" s="12" t="s">
        <v>99</v>
      </c>
      <c r="H68" s="12" t="s">
        <v>94</v>
      </c>
    </row>
    <row r="69" spans="1:8" ht="12.75" thickBot="1" x14ac:dyDescent="0.25">
      <c r="A69" s="43"/>
      <c r="B69" s="44" t="s">
        <v>33</v>
      </c>
      <c r="C69" s="57">
        <f>SUMIFS(C58:C68,$F$58:$F$68,"&lt;&gt;")</f>
        <v>1221951.4586</v>
      </c>
      <c r="D69" s="57">
        <f>SUMIFS(D58:D68,$F$58:$F$68,"&lt;&gt;")</f>
        <v>230795.04</v>
      </c>
      <c r="E69" s="58">
        <f>SUMIFS(E58:E68,$F$58:$F$68,"&lt;&gt;")</f>
        <v>1452746.4986</v>
      </c>
      <c r="F69" s="34"/>
      <c r="H69" s="12"/>
    </row>
    <row r="70" spans="1:8" ht="25.5" customHeight="1" x14ac:dyDescent="0.2">
      <c r="A70" s="106" t="s">
        <v>85</v>
      </c>
      <c r="B70" s="107"/>
      <c r="C70" s="107"/>
      <c r="D70" s="107"/>
      <c r="E70" s="108"/>
      <c r="F70" s="34"/>
      <c r="H70" s="12"/>
    </row>
    <row r="71" spans="1:8" x14ac:dyDescent="0.2">
      <c r="A71" s="35" t="s">
        <v>22</v>
      </c>
      <c r="B71" s="41" t="s">
        <v>86</v>
      </c>
      <c r="C71" s="5">
        <v>0</v>
      </c>
      <c r="D71" s="6">
        <f>0.19*C71</f>
        <v>0</v>
      </c>
      <c r="E71" s="7">
        <f>C71*1.19</f>
        <v>0</v>
      </c>
      <c r="F71" s="34" t="s">
        <v>27</v>
      </c>
      <c r="G71" s="12" t="s">
        <v>99</v>
      </c>
      <c r="H71" s="12" t="s">
        <v>99</v>
      </c>
    </row>
    <row r="72" spans="1:8" x14ac:dyDescent="0.2">
      <c r="A72" s="35" t="s">
        <v>23</v>
      </c>
      <c r="B72" s="41" t="s">
        <v>46</v>
      </c>
      <c r="C72" s="5">
        <v>0</v>
      </c>
      <c r="D72" s="6">
        <f>ROUND(0.19*C72,2)</f>
        <v>0</v>
      </c>
      <c r="E72" s="7">
        <f>D72+C72</f>
        <v>0</v>
      </c>
      <c r="F72" s="34" t="s">
        <v>28</v>
      </c>
      <c r="G72" s="12" t="s">
        <v>99</v>
      </c>
      <c r="H72" s="12" t="s">
        <v>99</v>
      </c>
    </row>
    <row r="73" spans="1:8" ht="13.15" customHeight="1" thickBot="1" x14ac:dyDescent="0.25">
      <c r="A73" s="84"/>
      <c r="B73" s="85" t="s">
        <v>34</v>
      </c>
      <c r="C73" s="86">
        <f>SUMIFS(C71:C72,$F$71:$F$72,"&lt;&gt;")</f>
        <v>0</v>
      </c>
      <c r="D73" s="86">
        <f>SUMIFS(D71:D72,$F$71:$F$72,"&lt;&gt;")</f>
        <v>0</v>
      </c>
      <c r="E73" s="87">
        <f>SUMIFS(E71:E72,$F$71:$F$72,"&lt;&gt;")</f>
        <v>0</v>
      </c>
      <c r="F73" s="34"/>
    </row>
    <row r="74" spans="1:8" ht="27.75" hidden="1" customHeight="1" x14ac:dyDescent="0.2">
      <c r="A74" s="99" t="s">
        <v>122</v>
      </c>
      <c r="B74" s="100"/>
      <c r="C74" s="100"/>
      <c r="D74" s="100"/>
      <c r="E74" s="101"/>
      <c r="F74" s="34"/>
    </row>
    <row r="75" spans="1:8" ht="26.25" hidden="1" customHeight="1" x14ac:dyDescent="0.2">
      <c r="A75" s="88" t="s">
        <v>123</v>
      </c>
      <c r="B75" s="89" t="s">
        <v>124</v>
      </c>
      <c r="C75" s="5">
        <v>0</v>
      </c>
      <c r="D75" s="6">
        <f>0.19*C75</f>
        <v>0</v>
      </c>
      <c r="E75" s="7">
        <f>C75*1.19</f>
        <v>0</v>
      </c>
      <c r="F75" s="34"/>
    </row>
    <row r="76" spans="1:8" ht="13.15" hidden="1" customHeight="1" x14ac:dyDescent="0.2">
      <c r="A76" s="90" t="s">
        <v>125</v>
      </c>
      <c r="B76" s="91" t="s">
        <v>126</v>
      </c>
      <c r="C76" s="5">
        <v>0</v>
      </c>
      <c r="D76" s="6">
        <f>ROUND(0.19*C76,2)</f>
        <v>0</v>
      </c>
      <c r="E76" s="7">
        <f>D76+C76</f>
        <v>0</v>
      </c>
      <c r="F76" s="34"/>
    </row>
    <row r="77" spans="1:8" ht="13.15" hidden="1" customHeight="1" thickBot="1" x14ac:dyDescent="0.25">
      <c r="A77" s="83"/>
      <c r="B77" s="85" t="s">
        <v>127</v>
      </c>
      <c r="C77" s="86">
        <f>SUMIFS(C75:C76,$F$71:$F$72,"&lt;&gt;")</f>
        <v>0</v>
      </c>
      <c r="D77" s="86">
        <f>SUMIFS(D75:D76,$F$71:$F$72,"&lt;&gt;")</f>
        <v>0</v>
      </c>
      <c r="E77" s="87">
        <f>SUMIFS(E75:E76,$F$71:$F$72,"&lt;&gt;")</f>
        <v>0</v>
      </c>
      <c r="F77" s="34"/>
    </row>
    <row r="78" spans="1:8" ht="21" customHeight="1" thickBot="1" x14ac:dyDescent="0.25">
      <c r="A78" s="60"/>
      <c r="B78" s="61" t="s">
        <v>29</v>
      </c>
      <c r="C78" s="62">
        <f>SUMIFS(C11:C73,$F$11:$F$73,"&lt;&gt;")+C77</f>
        <v>13855076.758599998</v>
      </c>
      <c r="D78" s="62">
        <f>SUMIFS(D11:D73,$F$11:$F$73,"&lt;&gt;")+D77</f>
        <v>2866180.9730000002</v>
      </c>
      <c r="E78" s="63">
        <f>SUMIFS(E11:E73,$F$11:$F$73,"&lt;&gt;")+E77</f>
        <v>16721257.731599998</v>
      </c>
      <c r="F78" s="34"/>
    </row>
    <row r="79" spans="1:8" ht="23.45" customHeight="1" thickBot="1" x14ac:dyDescent="0.25">
      <c r="A79" s="64"/>
      <c r="B79" s="65" t="s">
        <v>87</v>
      </c>
      <c r="C79" s="62">
        <f>SUMIFS(C11:C73,$H$11:$H$73,"da")</f>
        <v>11097825.300000001</v>
      </c>
      <c r="D79" s="62">
        <f>SUMIFS(D11:D73,$H$11:$H$73,"da")</f>
        <v>2320972.9330000002</v>
      </c>
      <c r="E79" s="63">
        <f>C79+D79</f>
        <v>13418798.233000001</v>
      </c>
      <c r="F79" s="34"/>
    </row>
    <row r="80" spans="1:8" ht="15" customHeight="1" x14ac:dyDescent="0.2">
      <c r="A80" s="94"/>
      <c r="B80" s="95"/>
      <c r="C80" s="96"/>
      <c r="D80" s="96"/>
      <c r="E80" s="96"/>
      <c r="F80" s="34"/>
    </row>
    <row r="81" spans="1:6" ht="23.45" customHeight="1" x14ac:dyDescent="0.2">
      <c r="A81" s="94"/>
      <c r="B81" s="67" t="s">
        <v>92</v>
      </c>
      <c r="C81" s="68">
        <f>E78</f>
        <v>16721257.731599998</v>
      </c>
      <c r="D81" s="96"/>
      <c r="E81" s="96"/>
      <c r="F81" s="34"/>
    </row>
    <row r="82" spans="1:6" ht="23.45" customHeight="1" x14ac:dyDescent="0.2">
      <c r="A82" s="94"/>
      <c r="B82" s="69" t="s">
        <v>28</v>
      </c>
      <c r="C82" s="70">
        <f>C81-C83</f>
        <v>16526697.266299998</v>
      </c>
      <c r="D82" s="96"/>
      <c r="E82" s="96"/>
      <c r="F82" s="34"/>
    </row>
    <row r="83" spans="1:6" ht="23.45" customHeight="1" x14ac:dyDescent="0.2">
      <c r="A83" s="94"/>
      <c r="B83" s="69" t="s">
        <v>27</v>
      </c>
      <c r="C83" s="71">
        <f>(E20+E21+E27+E60+E66+E68)</f>
        <v>194560.46530000001</v>
      </c>
      <c r="D83" s="96"/>
      <c r="E83" s="96"/>
      <c r="F83" s="34"/>
    </row>
    <row r="84" spans="1:6" x14ac:dyDescent="0.2">
      <c r="A84" s="15"/>
      <c r="B84" s="72"/>
      <c r="C84" s="72"/>
      <c r="D84" s="66"/>
      <c r="E84" s="66"/>
      <c r="F84" s="34"/>
    </row>
    <row r="85" spans="1:6" x14ac:dyDescent="0.2">
      <c r="A85" s="15"/>
      <c r="B85" s="73" t="s">
        <v>108</v>
      </c>
      <c r="C85" s="74" t="s">
        <v>102</v>
      </c>
      <c r="D85" s="74" t="s">
        <v>103</v>
      </c>
      <c r="E85" s="66"/>
      <c r="F85" s="34"/>
    </row>
    <row r="86" spans="1:6" x14ac:dyDescent="0.2">
      <c r="A86" s="15"/>
      <c r="B86" s="69" t="s">
        <v>104</v>
      </c>
      <c r="C86" s="70">
        <f>SUMIFS(C36:C55,G36:G55,"=da")</f>
        <v>12153125.300000001</v>
      </c>
      <c r="D86" s="70">
        <f>SUMIFS(C36:C55,G36:G55,"=nu")</f>
        <v>0</v>
      </c>
      <c r="E86" s="66"/>
      <c r="F86" s="34"/>
    </row>
    <row r="87" spans="1:6" x14ac:dyDescent="0.2">
      <c r="A87" s="15"/>
      <c r="B87" s="69" t="s">
        <v>105</v>
      </c>
      <c r="C87" s="70">
        <f>C78</f>
        <v>13855076.758599998</v>
      </c>
      <c r="D87" s="70">
        <f>(SUMIFS(C36:C55,G36:G55,"=nu")/((SUMIFS(C36:C55,G36:G55,"=da")+(SUMIFS(C36:C55,G36:G55,"=nu")))))*((SUMIFS(C11:C72,G11:G72,"=da")+(SUMIFS(C11:C72,G11:G72,"=nu"))))</f>
        <v>0</v>
      </c>
      <c r="E87" s="66"/>
      <c r="F87" s="34"/>
    </row>
    <row r="88" spans="1:6" x14ac:dyDescent="0.2">
      <c r="A88" s="15"/>
      <c r="B88" s="69" t="s">
        <v>109</v>
      </c>
      <c r="C88" s="70">
        <f>C87/C93</f>
        <v>8417.4220890643974</v>
      </c>
      <c r="D88" s="70">
        <f>D87/C93</f>
        <v>0</v>
      </c>
      <c r="E88" s="66"/>
      <c r="F88" s="34"/>
    </row>
    <row r="89" spans="1:6" x14ac:dyDescent="0.2">
      <c r="A89" s="15"/>
      <c r="B89" s="69" t="s">
        <v>107</v>
      </c>
      <c r="C89" s="70">
        <f>C87/C93/C92</f>
        <v>1701.6237267399272</v>
      </c>
      <c r="D89" s="70">
        <f>D87/C93/C92</f>
        <v>0</v>
      </c>
      <c r="E89" s="66"/>
      <c r="F89" s="34"/>
    </row>
    <row r="90" spans="1:6" x14ac:dyDescent="0.2">
      <c r="A90" s="15"/>
      <c r="B90" s="72"/>
      <c r="C90" s="97"/>
      <c r="D90" s="97"/>
      <c r="E90" s="66"/>
      <c r="F90" s="34"/>
    </row>
    <row r="91" spans="1:6" x14ac:dyDescent="0.2">
      <c r="A91" s="75"/>
      <c r="B91" s="69" t="s">
        <v>100</v>
      </c>
      <c r="C91" s="76">
        <v>44491</v>
      </c>
      <c r="D91" s="77"/>
      <c r="E91" s="77"/>
    </row>
    <row r="92" spans="1:6" x14ac:dyDescent="0.2">
      <c r="A92" s="15"/>
      <c r="B92" s="69" t="s">
        <v>101</v>
      </c>
      <c r="C92" s="78">
        <v>4.9466999999999999</v>
      </c>
    </row>
    <row r="93" spans="1:6" x14ac:dyDescent="0.2">
      <c r="A93" s="15"/>
      <c r="B93" s="79" t="s">
        <v>121</v>
      </c>
      <c r="C93" s="80">
        <v>1646</v>
      </c>
      <c r="D93" s="77"/>
      <c r="E93" s="77"/>
    </row>
    <row r="94" spans="1:6" x14ac:dyDescent="0.2">
      <c r="A94" s="15"/>
      <c r="C94" s="66"/>
      <c r="D94" s="66"/>
      <c r="E94" s="66"/>
    </row>
    <row r="95" spans="1:6" ht="12" customHeight="1" x14ac:dyDescent="0.2">
      <c r="A95" s="81"/>
      <c r="B95" s="92" t="s">
        <v>110</v>
      </c>
      <c r="C95" s="77"/>
      <c r="D95" s="102" t="s">
        <v>111</v>
      </c>
      <c r="E95" s="102"/>
    </row>
    <row r="96" spans="1:6" ht="12" customHeight="1" x14ac:dyDescent="0.2">
      <c r="B96" s="11" t="s">
        <v>112</v>
      </c>
      <c r="D96" s="102" t="s">
        <v>113</v>
      </c>
      <c r="E96" s="102"/>
    </row>
    <row r="97" spans="2:5" x14ac:dyDescent="0.2">
      <c r="D97" s="103" t="s">
        <v>114</v>
      </c>
      <c r="E97" s="103"/>
    </row>
    <row r="98" spans="2:5" x14ac:dyDescent="0.2">
      <c r="B98" s="92" t="s">
        <v>115</v>
      </c>
      <c r="E98" s="82"/>
    </row>
    <row r="99" spans="2:5" x14ac:dyDescent="0.2">
      <c r="B99" s="11" t="s">
        <v>116</v>
      </c>
      <c r="E99" s="82"/>
    </row>
    <row r="100" spans="2:5" ht="12.75" customHeight="1" x14ac:dyDescent="0.2">
      <c r="B100" s="1"/>
      <c r="D100" s="102" t="s">
        <v>117</v>
      </c>
      <c r="E100" s="102"/>
    </row>
    <row r="101" spans="2:5" ht="12.75" x14ac:dyDescent="0.2">
      <c r="B101" s="1"/>
      <c r="D101" s="104" t="s">
        <v>118</v>
      </c>
      <c r="E101" s="104"/>
    </row>
    <row r="102" spans="2:5" x14ac:dyDescent="0.2">
      <c r="D102" s="98" t="s">
        <v>119</v>
      </c>
      <c r="E102" s="98"/>
    </row>
    <row r="103" spans="2:5" x14ac:dyDescent="0.2">
      <c r="E103" s="11"/>
    </row>
    <row r="104" spans="2:5" x14ac:dyDescent="0.2">
      <c r="E104" s="11"/>
    </row>
    <row r="105" spans="2:5" x14ac:dyDescent="0.2">
      <c r="B105" s="13"/>
      <c r="D105" s="102" t="s">
        <v>137</v>
      </c>
      <c r="E105" s="102"/>
    </row>
    <row r="106" spans="2:5" x14ac:dyDescent="0.2">
      <c r="B106" s="13"/>
      <c r="D106" s="98" t="s">
        <v>138</v>
      </c>
      <c r="E106" s="98"/>
    </row>
    <row r="109" spans="2:5" x14ac:dyDescent="0.2">
      <c r="B109" s="11" t="s">
        <v>139</v>
      </c>
      <c r="C109" s="13"/>
      <c r="D109" s="98" t="s">
        <v>140</v>
      </c>
      <c r="E109" s="98"/>
    </row>
    <row r="110" spans="2:5" x14ac:dyDescent="0.2">
      <c r="C110" s="13"/>
      <c r="D110" s="98" t="s">
        <v>141</v>
      </c>
      <c r="E110" s="98"/>
    </row>
    <row r="113" spans="2:5" x14ac:dyDescent="0.2">
      <c r="B113" s="13"/>
      <c r="C113" s="13"/>
      <c r="D113" s="13"/>
      <c r="E113" s="13"/>
    </row>
    <row r="114" spans="2:5" x14ac:dyDescent="0.2">
      <c r="B114" s="13"/>
      <c r="C114" s="13"/>
      <c r="D114" s="13"/>
      <c r="E114" s="13"/>
    </row>
  </sheetData>
  <mergeCells count="26">
    <mergeCell ref="D1:E1"/>
    <mergeCell ref="D2:E2"/>
    <mergeCell ref="A4:E4"/>
    <mergeCell ref="A6:A8"/>
    <mergeCell ref="B6:B8"/>
    <mergeCell ref="C6:E6"/>
    <mergeCell ref="F6:F8"/>
    <mergeCell ref="G6:G8"/>
    <mergeCell ref="A70:E70"/>
    <mergeCell ref="H6:H8"/>
    <mergeCell ref="A10:E10"/>
    <mergeCell ref="A16:E16"/>
    <mergeCell ref="A19:E19"/>
    <mergeCell ref="A35:E35"/>
    <mergeCell ref="A57:E57"/>
    <mergeCell ref="D109:E109"/>
    <mergeCell ref="D110:E110"/>
    <mergeCell ref="A74:E74"/>
    <mergeCell ref="D105:E105"/>
    <mergeCell ref="D106:E106"/>
    <mergeCell ref="D95:E95"/>
    <mergeCell ref="D96:E96"/>
    <mergeCell ref="D97:E97"/>
    <mergeCell ref="D100:E100"/>
    <mergeCell ref="D101:E101"/>
    <mergeCell ref="D102:E102"/>
  </mergeCells>
  <dataValidations disablePrompts="1" count="2">
    <dataValidation type="date" operator="greaterThanOrEqual" allowBlank="1" showInputMessage="1" showErrorMessage="1" sqref="C91" xr:uid="{29E63086-5638-42EA-B986-1AFBED0258EF}">
      <formula1>44197</formula1>
    </dataValidation>
    <dataValidation type="list" allowBlank="1" showInputMessage="1" showErrorMessage="1" sqref="G54:H55 G51:H52 G17:H17 G20:H23 G25:H33 G37:H40 G42:H43 G45:H46 G48:H49 G71:H72 G11:H14 G59:H68" xr:uid="{0A4E6D07-A9A6-4EAD-9A84-645868383F16}">
      <formula1>"da,nu"</formula1>
    </dataValidation>
  </dataValidations>
  <printOptions horizontalCentered="1"/>
  <pageMargins left="0.74803149606299213" right="0.34" top="0.47" bottom="0.5" header="0.34" footer="0.2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DG  rest</vt:lpstr>
      <vt:lpstr>'DG  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2021-09-15T18:53:38Z</dcterms:created>
  <dcterms:modified xsi:type="dcterms:W3CDTF">2026-07-16T09:25:28Z</dcterms:modified>
</cp:coreProperties>
</file>